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05" windowWidth="26550" windowHeight="4215"/>
  </bookViews>
  <sheets>
    <sheet name="Individual (Uni-format)" sheetId="9" r:id="rId1"/>
    <sheet name="Sludge production pptn estimate" sheetId="13" r:id="rId2"/>
  </sheets>
  <externalReferences>
    <externalReference r:id="rId3"/>
  </externalReferences>
  <definedNames>
    <definedName name="_xlnm._FilterDatabase" localSheetId="0" hidden="1">'Individual (Uni-format)'!$A$3:$BD$258</definedName>
  </definedNames>
  <calcPr calcId="145621"/>
</workbook>
</file>

<file path=xl/calcChain.xml><?xml version="1.0" encoding="utf-8"?>
<calcChain xmlns="http://schemas.openxmlformats.org/spreadsheetml/2006/main">
  <c r="R103" i="9" l="1"/>
  <c r="R104" i="9"/>
  <c r="N103" i="9"/>
  <c r="N104" i="9"/>
  <c r="L103" i="9"/>
  <c r="L104" i="9"/>
  <c r="S104" i="9"/>
  <c r="P28" i="9"/>
  <c r="R28" i="9"/>
  <c r="S242" i="9"/>
  <c r="B26" i="13" l="1"/>
  <c r="C20" i="13" s="1"/>
  <c r="F20" i="13" s="1"/>
  <c r="B15" i="13"/>
  <c r="C4" i="13" s="1"/>
  <c r="F4" i="13" s="1"/>
  <c r="C9" i="13" l="1"/>
  <c r="F9" i="13" s="1"/>
  <c r="C25" i="13"/>
  <c r="F25" i="13" s="1"/>
  <c r="C3" i="13"/>
  <c r="C11" i="13"/>
  <c r="F11" i="13" s="1"/>
  <c r="C7" i="13"/>
  <c r="F7" i="13" s="1"/>
  <c r="C23" i="13"/>
  <c r="F23" i="13" s="1"/>
  <c r="C19" i="13"/>
  <c r="F19" i="13" s="1"/>
  <c r="C13" i="13"/>
  <c r="F13" i="13" s="1"/>
  <c r="C5" i="13"/>
  <c r="F5" i="13" s="1"/>
  <c r="C21" i="13"/>
  <c r="F21" i="13" s="1"/>
  <c r="C14" i="13"/>
  <c r="F14" i="13" s="1"/>
  <c r="C10" i="13"/>
  <c r="F10" i="13" s="1"/>
  <c r="C6" i="13"/>
  <c r="F6" i="13" s="1"/>
  <c r="C17" i="13"/>
  <c r="C22" i="13"/>
  <c r="F22" i="13" s="1"/>
  <c r="C18" i="13"/>
  <c r="F18" i="13" s="1"/>
  <c r="C12" i="13"/>
  <c r="F12" i="13" s="1"/>
  <c r="C8" i="13"/>
  <c r="F8" i="13" s="1"/>
  <c r="C24" i="13"/>
  <c r="F24" i="13" s="1"/>
  <c r="AM198" i="9"/>
  <c r="AM99" i="9"/>
  <c r="AM101" i="9"/>
  <c r="AM100" i="9"/>
  <c r="AB258" i="9"/>
  <c r="AA258" i="9"/>
  <c r="T258" i="9"/>
  <c r="AJ257" i="9"/>
  <c r="J258" i="9"/>
  <c r="F17" i="13" l="1"/>
  <c r="F26" i="13" s="1"/>
  <c r="C26" i="13"/>
  <c r="F3" i="13"/>
  <c r="F15" i="13" s="1"/>
  <c r="C15" i="13"/>
  <c r="AA257" i="9"/>
  <c r="AB257" i="9"/>
  <c r="J257" i="9"/>
  <c r="AG110" i="9" l="1"/>
  <c r="AM86" i="9"/>
  <c r="AI86" i="9"/>
  <c r="AG86" i="9"/>
  <c r="AE86" i="9"/>
  <c r="AM68" i="9" l="1"/>
  <c r="AI68" i="9"/>
  <c r="AG68" i="9"/>
  <c r="AE68" i="9"/>
  <c r="S68" i="9"/>
  <c r="S86" i="9"/>
  <c r="S109" i="9"/>
  <c r="S110" i="9"/>
  <c r="S111" i="9"/>
  <c r="S112" i="9"/>
  <c r="S209" i="9"/>
  <c r="R68" i="9"/>
  <c r="R86" i="9"/>
  <c r="R109" i="9"/>
  <c r="R110" i="9"/>
  <c r="R111" i="9"/>
  <c r="R112" i="9"/>
  <c r="R209" i="9"/>
  <c r="P68" i="9"/>
  <c r="P86" i="9"/>
  <c r="P109" i="9"/>
  <c r="P110" i="9"/>
  <c r="P111" i="9"/>
  <c r="P112" i="9"/>
  <c r="P209" i="9"/>
  <c r="N68" i="9"/>
  <c r="N86" i="9"/>
  <c r="N109" i="9"/>
  <c r="N110" i="9"/>
  <c r="N111" i="9"/>
  <c r="N112" i="9"/>
  <c r="N209" i="9"/>
  <c r="L68" i="9"/>
  <c r="L86" i="9"/>
  <c r="L109" i="9"/>
  <c r="L110" i="9"/>
  <c r="L111" i="9"/>
  <c r="L112" i="9"/>
  <c r="L209" i="9"/>
  <c r="S60" i="9"/>
  <c r="S61" i="9"/>
  <c r="S62" i="9"/>
  <c r="S63" i="9"/>
  <c r="S64" i="9"/>
  <c r="S65" i="9"/>
  <c r="S66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98" i="9"/>
  <c r="R99" i="9"/>
  <c r="R100" i="9"/>
  <c r="R101" i="9"/>
  <c r="R102" i="9"/>
  <c r="R60" i="9"/>
  <c r="R61" i="9"/>
  <c r="R62" i="9"/>
  <c r="R63" i="9"/>
  <c r="R64" i="9"/>
  <c r="R65" i="9"/>
  <c r="R66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98" i="9"/>
  <c r="P99" i="9"/>
  <c r="P100" i="9"/>
  <c r="P101" i="9"/>
  <c r="P102" i="9"/>
  <c r="P60" i="9"/>
  <c r="P61" i="9"/>
  <c r="P62" i="9"/>
  <c r="P63" i="9"/>
  <c r="P64" i="9"/>
  <c r="P65" i="9"/>
  <c r="P66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98" i="9"/>
  <c r="N99" i="9"/>
  <c r="N100" i="9"/>
  <c r="N101" i="9"/>
  <c r="N102" i="9"/>
  <c r="N60" i="9"/>
  <c r="N61" i="9"/>
  <c r="N62" i="9"/>
  <c r="N63" i="9"/>
  <c r="N64" i="9"/>
  <c r="N65" i="9"/>
  <c r="N66" i="9"/>
  <c r="L98" i="9"/>
  <c r="L99" i="9"/>
  <c r="L100" i="9"/>
  <c r="L101" i="9"/>
  <c r="L102" i="9"/>
  <c r="L60" i="9"/>
  <c r="L61" i="9"/>
  <c r="L62" i="9"/>
  <c r="L63" i="9"/>
  <c r="L64" i="9"/>
  <c r="L65" i="9"/>
  <c r="L66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AI42" i="9" l="1"/>
  <c r="AI43" i="9"/>
  <c r="AI44" i="9"/>
  <c r="AI45" i="9"/>
  <c r="AI46" i="9"/>
  <c r="AI47" i="9"/>
  <c r="AI48" i="9"/>
  <c r="AI49" i="9"/>
  <c r="AI50" i="9"/>
  <c r="AI51" i="9"/>
  <c r="AI52" i="9"/>
  <c r="AI53" i="9"/>
  <c r="AI54" i="9"/>
  <c r="AI55" i="9"/>
  <c r="AI56" i="9"/>
  <c r="AG42" i="9"/>
  <c r="AG43" i="9"/>
  <c r="AG44" i="9"/>
  <c r="AG45" i="9"/>
  <c r="AG46" i="9"/>
  <c r="AG47" i="9"/>
  <c r="AG48" i="9"/>
  <c r="AG49" i="9"/>
  <c r="AG50" i="9"/>
  <c r="AG51" i="9"/>
  <c r="AG52" i="9"/>
  <c r="AG53" i="9"/>
  <c r="AG54" i="9"/>
  <c r="AG55" i="9"/>
  <c r="AG56" i="9"/>
  <c r="L43" i="9"/>
  <c r="L42" i="9"/>
  <c r="AM162" i="9" l="1"/>
  <c r="AI162" i="9"/>
  <c r="AG162" i="9"/>
  <c r="AE162" i="9"/>
  <c r="R143" i="9"/>
  <c r="R144" i="9"/>
  <c r="R145" i="9"/>
  <c r="R146" i="9"/>
  <c r="R147" i="9"/>
  <c r="R148" i="9"/>
  <c r="R149" i="9"/>
  <c r="R150" i="9"/>
  <c r="R151" i="9"/>
  <c r="R152" i="9"/>
  <c r="R153" i="9"/>
  <c r="R154" i="9"/>
  <c r="R155" i="9"/>
  <c r="R156" i="9"/>
  <c r="R157" i="9"/>
  <c r="R158" i="9"/>
  <c r="R159" i="9"/>
  <c r="R160" i="9"/>
  <c r="R161" i="9"/>
  <c r="R16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S16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S143" i="9"/>
  <c r="U143" i="9"/>
  <c r="AE143" i="9"/>
  <c r="AG143" i="9"/>
  <c r="AM143" i="9"/>
  <c r="S144" i="9"/>
  <c r="U144" i="9"/>
  <c r="AE144" i="9"/>
  <c r="AG144" i="9"/>
  <c r="AM144" i="9"/>
  <c r="S145" i="9"/>
  <c r="U145" i="9"/>
  <c r="AE145" i="9"/>
  <c r="AG145" i="9"/>
  <c r="AM145" i="9"/>
  <c r="S146" i="9"/>
  <c r="U146" i="9"/>
  <c r="AE146" i="9"/>
  <c r="AG146" i="9"/>
  <c r="AM146" i="9"/>
  <c r="S147" i="9"/>
  <c r="U147" i="9"/>
  <c r="AE147" i="9"/>
  <c r="AG147" i="9"/>
  <c r="AM147" i="9"/>
  <c r="S148" i="9"/>
  <c r="U148" i="9"/>
  <c r="AE148" i="9"/>
  <c r="AG148" i="9"/>
  <c r="AM148" i="9"/>
  <c r="S149" i="9"/>
  <c r="U149" i="9"/>
  <c r="AE149" i="9"/>
  <c r="AG149" i="9"/>
  <c r="AM149" i="9"/>
  <c r="S150" i="9"/>
  <c r="U150" i="9"/>
  <c r="AE150" i="9"/>
  <c r="AG150" i="9"/>
  <c r="AM150" i="9"/>
  <c r="S151" i="9"/>
  <c r="U151" i="9"/>
  <c r="AE151" i="9"/>
  <c r="AG151" i="9"/>
  <c r="AM151" i="9"/>
  <c r="S152" i="9"/>
  <c r="U152" i="9"/>
  <c r="AE152" i="9"/>
  <c r="AG152" i="9"/>
  <c r="AM152" i="9"/>
  <c r="S153" i="9"/>
  <c r="U153" i="9"/>
  <c r="AE153" i="9"/>
  <c r="AG153" i="9"/>
  <c r="AM153" i="9"/>
  <c r="S154" i="9"/>
  <c r="U154" i="9"/>
  <c r="AE154" i="9"/>
  <c r="AG154" i="9"/>
  <c r="AM154" i="9"/>
  <c r="S155" i="9"/>
  <c r="U155" i="9"/>
  <c r="AE155" i="9"/>
  <c r="AG155" i="9"/>
  <c r="AM155" i="9"/>
  <c r="S156" i="9"/>
  <c r="U156" i="9"/>
  <c r="AE156" i="9"/>
  <c r="AG156" i="9"/>
  <c r="AM156" i="9"/>
  <c r="S157" i="9"/>
  <c r="AE157" i="9"/>
  <c r="AG157" i="9"/>
  <c r="AM157" i="9"/>
  <c r="S158" i="9"/>
  <c r="U158" i="9"/>
  <c r="AE158" i="9"/>
  <c r="AG158" i="9"/>
  <c r="AM158" i="9"/>
  <c r="S159" i="9"/>
  <c r="U159" i="9"/>
  <c r="AE159" i="9"/>
  <c r="AG159" i="9"/>
  <c r="AM159" i="9"/>
  <c r="S160" i="9"/>
  <c r="U160" i="9"/>
  <c r="AE160" i="9"/>
  <c r="AG160" i="9"/>
  <c r="AM160" i="9"/>
  <c r="AI9" i="9"/>
  <c r="AG103" i="9"/>
  <c r="AG139" i="9"/>
  <c r="AG140" i="9"/>
  <c r="AG141" i="9"/>
  <c r="AG142" i="9"/>
  <c r="AE103" i="9"/>
  <c r="AE139" i="9"/>
  <c r="AE140" i="9"/>
  <c r="AE141" i="9"/>
  <c r="AE142" i="9"/>
  <c r="AE16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98" i="9"/>
  <c r="AE99" i="9"/>
  <c r="AE100" i="9"/>
  <c r="AE101" i="9"/>
  <c r="AE102" i="9"/>
  <c r="AG9" i="9"/>
  <c r="AE9" i="9"/>
  <c r="AM236" i="9" l="1"/>
  <c r="AM235" i="9"/>
  <c r="AM234" i="9"/>
  <c r="S234" i="9"/>
  <c r="AM231" i="9" l="1"/>
  <c r="AM229" i="9"/>
  <c r="U231" i="9"/>
  <c r="U230" i="9"/>
  <c r="U229" i="9"/>
  <c r="U228" i="9"/>
  <c r="U227" i="9"/>
  <c r="U226" i="9"/>
  <c r="U225" i="9"/>
  <c r="U224" i="9"/>
  <c r="U223" i="9"/>
  <c r="U222" i="9"/>
  <c r="U221" i="9"/>
  <c r="U219" i="9"/>
  <c r="U218" i="9"/>
  <c r="U217" i="9"/>
  <c r="U216" i="9"/>
  <c r="U215" i="9"/>
  <c r="U214" i="9"/>
  <c r="P197" i="9" l="1"/>
  <c r="L184" i="9"/>
  <c r="R127" i="9" l="1"/>
  <c r="S5" i="9" l="1"/>
  <c r="S6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57" i="9"/>
  <c r="S58" i="9"/>
  <c r="S59" i="9"/>
  <c r="S67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7" i="9"/>
  <c r="S88" i="9"/>
  <c r="S89" i="9"/>
  <c r="S90" i="9"/>
  <c r="S91" i="9"/>
  <c r="S92" i="9"/>
  <c r="S93" i="9"/>
  <c r="S94" i="9"/>
  <c r="S95" i="9"/>
  <c r="S96" i="9"/>
  <c r="S97" i="9"/>
  <c r="S105" i="9"/>
  <c r="S106" i="9"/>
  <c r="S107" i="9"/>
  <c r="S108" i="9"/>
  <c r="S113" i="9"/>
  <c r="S114" i="9"/>
  <c r="S115" i="9"/>
  <c r="S116" i="9"/>
  <c r="S117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63" i="9"/>
  <c r="S164" i="9"/>
  <c r="S165" i="9"/>
  <c r="S166" i="9"/>
  <c r="S167" i="9"/>
  <c r="S168" i="9"/>
  <c r="S169" i="9"/>
  <c r="S170" i="9"/>
  <c r="S171" i="9"/>
  <c r="S172" i="9"/>
  <c r="S173" i="9"/>
  <c r="S174" i="9"/>
  <c r="S175" i="9"/>
  <c r="S176" i="9"/>
  <c r="S177" i="9"/>
  <c r="S178" i="9"/>
  <c r="S179" i="9"/>
  <c r="S180" i="9"/>
  <c r="S181" i="9"/>
  <c r="S182" i="9"/>
  <c r="S183" i="9"/>
  <c r="S184" i="9"/>
  <c r="S185" i="9"/>
  <c r="S186" i="9"/>
  <c r="S187" i="9"/>
  <c r="S188" i="9"/>
  <c r="S189" i="9"/>
  <c r="S190" i="9"/>
  <c r="S191" i="9"/>
  <c r="S192" i="9"/>
  <c r="S193" i="9"/>
  <c r="S194" i="9"/>
  <c r="S195" i="9"/>
  <c r="S196" i="9"/>
  <c r="S197" i="9"/>
  <c r="S198" i="9"/>
  <c r="S199" i="9"/>
  <c r="S200" i="9"/>
  <c r="S201" i="9"/>
  <c r="S202" i="9"/>
  <c r="S203" i="9"/>
  <c r="S204" i="9"/>
  <c r="S205" i="9"/>
  <c r="S206" i="9"/>
  <c r="S207" i="9"/>
  <c r="S208" i="9"/>
  <c r="S210" i="9"/>
  <c r="S211" i="9"/>
  <c r="S212" i="9"/>
  <c r="S213" i="9"/>
  <c r="S214" i="9"/>
  <c r="S215" i="9"/>
  <c r="S216" i="9"/>
  <c r="S217" i="9"/>
  <c r="S218" i="9"/>
  <c r="S219" i="9"/>
  <c r="S220" i="9"/>
  <c r="S221" i="9"/>
  <c r="S222" i="9"/>
  <c r="S223" i="9"/>
  <c r="S224" i="9"/>
  <c r="S225" i="9"/>
  <c r="S226" i="9"/>
  <c r="S227" i="9"/>
  <c r="S228" i="9"/>
  <c r="S229" i="9"/>
  <c r="S230" i="9"/>
  <c r="S231" i="9"/>
  <c r="S232" i="9"/>
  <c r="S233" i="9"/>
  <c r="S235" i="9"/>
  <c r="S236" i="9"/>
  <c r="S237" i="9"/>
  <c r="S238" i="9"/>
  <c r="S239" i="9"/>
  <c r="S240" i="9"/>
  <c r="S241" i="9"/>
  <c r="S243" i="9"/>
  <c r="S244" i="9"/>
  <c r="S245" i="9"/>
  <c r="S246" i="9"/>
  <c r="S247" i="9"/>
  <c r="S248" i="9"/>
  <c r="S249" i="9"/>
  <c r="S250" i="9"/>
  <c r="S251" i="9"/>
  <c r="S252" i="9"/>
  <c r="S253" i="9"/>
  <c r="S254" i="9"/>
  <c r="S255" i="9"/>
  <c r="S256" i="9"/>
  <c r="S7" i="9"/>
  <c r="S8" i="9"/>
  <c r="S9" i="9"/>
  <c r="S103" i="9"/>
  <c r="S16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98" i="9"/>
  <c r="S99" i="9"/>
  <c r="S100" i="9"/>
  <c r="S101" i="9"/>
  <c r="S102" i="9"/>
  <c r="R19" i="9"/>
  <c r="R5" i="9"/>
  <c r="R6" i="9"/>
  <c r="R10" i="9"/>
  <c r="R11" i="9"/>
  <c r="R12" i="9"/>
  <c r="R13" i="9"/>
  <c r="R14" i="9"/>
  <c r="R15" i="9"/>
  <c r="R17" i="9"/>
  <c r="R18" i="9"/>
  <c r="R20" i="9"/>
  <c r="R21" i="9"/>
  <c r="R22" i="9"/>
  <c r="R23" i="9"/>
  <c r="R24" i="9"/>
  <c r="R25" i="9"/>
  <c r="R26" i="9"/>
  <c r="R27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57" i="9"/>
  <c r="R58" i="9"/>
  <c r="R59" i="9"/>
  <c r="R67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7" i="9"/>
  <c r="R88" i="9"/>
  <c r="R89" i="9"/>
  <c r="R90" i="9"/>
  <c r="R91" i="9"/>
  <c r="R92" i="9"/>
  <c r="R93" i="9"/>
  <c r="R94" i="9"/>
  <c r="R95" i="9"/>
  <c r="R96" i="9"/>
  <c r="R97" i="9"/>
  <c r="R105" i="9"/>
  <c r="R106" i="9"/>
  <c r="R107" i="9"/>
  <c r="R108" i="9"/>
  <c r="R113" i="9"/>
  <c r="R114" i="9"/>
  <c r="R115" i="9"/>
  <c r="R116" i="9"/>
  <c r="R117" i="9"/>
  <c r="R118" i="9"/>
  <c r="R119" i="9"/>
  <c r="R120" i="9"/>
  <c r="R121" i="9"/>
  <c r="R122" i="9"/>
  <c r="R123" i="9"/>
  <c r="R124" i="9"/>
  <c r="R125" i="9"/>
  <c r="R126" i="9"/>
  <c r="R128" i="9"/>
  <c r="R129" i="9"/>
  <c r="R130" i="9"/>
  <c r="R131" i="9"/>
  <c r="R132" i="9"/>
  <c r="R133" i="9"/>
  <c r="R134" i="9"/>
  <c r="R135" i="9"/>
  <c r="R136" i="9"/>
  <c r="R137" i="9"/>
  <c r="R138" i="9"/>
  <c r="R163" i="9"/>
  <c r="R164" i="9"/>
  <c r="R165" i="9"/>
  <c r="R166" i="9"/>
  <c r="R167" i="9"/>
  <c r="R168" i="9"/>
  <c r="R169" i="9"/>
  <c r="R170" i="9"/>
  <c r="R171" i="9"/>
  <c r="R172" i="9"/>
  <c r="R173" i="9"/>
  <c r="R174" i="9"/>
  <c r="R175" i="9"/>
  <c r="R176" i="9"/>
  <c r="R177" i="9"/>
  <c r="R178" i="9"/>
  <c r="R179" i="9"/>
  <c r="R180" i="9"/>
  <c r="R181" i="9"/>
  <c r="R182" i="9"/>
  <c r="R183" i="9"/>
  <c r="R184" i="9"/>
  <c r="R185" i="9"/>
  <c r="R186" i="9"/>
  <c r="R187" i="9"/>
  <c r="R188" i="9"/>
  <c r="R189" i="9"/>
  <c r="R190" i="9"/>
  <c r="R191" i="9"/>
  <c r="R192" i="9"/>
  <c r="R193" i="9"/>
  <c r="R194" i="9"/>
  <c r="R195" i="9"/>
  <c r="R196" i="9"/>
  <c r="R197" i="9"/>
  <c r="R198" i="9"/>
  <c r="R199" i="9"/>
  <c r="R200" i="9"/>
  <c r="R201" i="9"/>
  <c r="R202" i="9"/>
  <c r="R203" i="9"/>
  <c r="R204" i="9"/>
  <c r="R205" i="9"/>
  <c r="R206" i="9"/>
  <c r="R207" i="9"/>
  <c r="R208" i="9"/>
  <c r="R210" i="9"/>
  <c r="R211" i="9"/>
  <c r="R212" i="9"/>
  <c r="R213" i="9"/>
  <c r="R214" i="9"/>
  <c r="R215" i="9"/>
  <c r="R216" i="9"/>
  <c r="R217" i="9"/>
  <c r="R218" i="9"/>
  <c r="R219" i="9"/>
  <c r="R220" i="9"/>
  <c r="R221" i="9"/>
  <c r="R222" i="9"/>
  <c r="R223" i="9"/>
  <c r="R224" i="9"/>
  <c r="R225" i="9"/>
  <c r="R226" i="9"/>
  <c r="R227" i="9"/>
  <c r="R228" i="9"/>
  <c r="R229" i="9"/>
  <c r="R230" i="9"/>
  <c r="R231" i="9"/>
  <c r="R232" i="9"/>
  <c r="R233" i="9"/>
  <c r="R234" i="9"/>
  <c r="R235" i="9"/>
  <c r="R236" i="9"/>
  <c r="R237" i="9"/>
  <c r="R239" i="9"/>
  <c r="R240" i="9"/>
  <c r="R241" i="9"/>
  <c r="R242" i="9"/>
  <c r="R243" i="9"/>
  <c r="R244" i="9"/>
  <c r="R245" i="9"/>
  <c r="R246" i="9"/>
  <c r="R247" i="9"/>
  <c r="R248" i="9"/>
  <c r="R249" i="9"/>
  <c r="R250" i="9"/>
  <c r="R251" i="9"/>
  <c r="R252" i="9"/>
  <c r="R253" i="9"/>
  <c r="R254" i="9"/>
  <c r="R255" i="9"/>
  <c r="R256" i="9"/>
  <c r="R139" i="9"/>
  <c r="R140" i="9"/>
  <c r="R141" i="9"/>
  <c r="R142" i="9"/>
  <c r="P5" i="9"/>
  <c r="P6" i="9"/>
  <c r="P10" i="9"/>
  <c r="P11" i="9"/>
  <c r="P12" i="9"/>
  <c r="P13" i="9"/>
  <c r="P14" i="9"/>
  <c r="P15" i="9"/>
  <c r="P17" i="9"/>
  <c r="P18" i="9"/>
  <c r="P19" i="9"/>
  <c r="P20" i="9"/>
  <c r="P21" i="9"/>
  <c r="P22" i="9"/>
  <c r="P23" i="9"/>
  <c r="P24" i="9"/>
  <c r="P25" i="9"/>
  <c r="P26" i="9"/>
  <c r="P27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57" i="9"/>
  <c r="P58" i="9"/>
  <c r="P59" i="9"/>
  <c r="P67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7" i="9"/>
  <c r="P88" i="9"/>
  <c r="P89" i="9"/>
  <c r="P90" i="9"/>
  <c r="P91" i="9"/>
  <c r="P92" i="9"/>
  <c r="P93" i="9"/>
  <c r="P94" i="9"/>
  <c r="P95" i="9"/>
  <c r="P96" i="9"/>
  <c r="P97" i="9"/>
  <c r="P105" i="9"/>
  <c r="P106" i="9"/>
  <c r="P107" i="9"/>
  <c r="P108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8" i="9"/>
  <c r="P199" i="9"/>
  <c r="P200" i="9"/>
  <c r="P201" i="9"/>
  <c r="P202" i="9"/>
  <c r="P203" i="9"/>
  <c r="P204" i="9"/>
  <c r="P205" i="9"/>
  <c r="P206" i="9"/>
  <c r="P207" i="9"/>
  <c r="P208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139" i="9"/>
  <c r="P140" i="9"/>
  <c r="P141" i="9"/>
  <c r="P142" i="9"/>
  <c r="R4" i="9"/>
  <c r="P4" i="9"/>
  <c r="S4" i="9"/>
  <c r="AM36" i="9" l="1"/>
  <c r="AM37" i="9"/>
  <c r="AM38" i="9"/>
  <c r="AM39" i="9"/>
  <c r="AM40" i="9"/>
  <c r="AM41" i="9"/>
  <c r="AM57" i="9"/>
  <c r="AM58" i="9"/>
  <c r="AM59" i="9"/>
  <c r="AM67" i="9"/>
  <c r="AM69" i="9"/>
  <c r="AM70" i="9"/>
  <c r="AM71" i="9"/>
  <c r="AM72" i="9"/>
  <c r="AM73" i="9"/>
  <c r="AM74" i="9"/>
  <c r="AM75" i="9"/>
  <c r="AM76" i="9"/>
  <c r="AM77" i="9"/>
  <c r="AM78" i="9"/>
  <c r="AM79" i="9"/>
  <c r="AM80" i="9"/>
  <c r="AM81" i="9"/>
  <c r="AM82" i="9"/>
  <c r="AM83" i="9"/>
  <c r="AM84" i="9"/>
  <c r="AM85" i="9"/>
  <c r="AM87" i="9"/>
  <c r="AM88" i="9"/>
  <c r="AM89" i="9"/>
  <c r="AM90" i="9"/>
  <c r="AM91" i="9"/>
  <c r="AM92" i="9"/>
  <c r="AM93" i="9"/>
  <c r="AM94" i="9"/>
  <c r="AM95" i="9"/>
  <c r="AM96" i="9"/>
  <c r="AM97" i="9"/>
  <c r="AM105" i="9"/>
  <c r="AM106" i="9"/>
  <c r="AM107" i="9"/>
  <c r="AM108" i="9"/>
  <c r="AM113" i="9"/>
  <c r="AM114" i="9"/>
  <c r="AM115" i="9"/>
  <c r="AM116" i="9"/>
  <c r="AM117" i="9"/>
  <c r="AM118" i="9"/>
  <c r="AM119" i="9"/>
  <c r="AM120" i="9"/>
  <c r="AM121" i="9"/>
  <c r="AM122" i="9"/>
  <c r="AM123" i="9"/>
  <c r="AM124" i="9"/>
  <c r="AM125" i="9"/>
  <c r="AM126" i="9"/>
  <c r="AM127" i="9"/>
  <c r="AM128" i="9"/>
  <c r="AM129" i="9"/>
  <c r="AM130" i="9"/>
  <c r="AM131" i="9"/>
  <c r="AM132" i="9"/>
  <c r="AM133" i="9"/>
  <c r="AM134" i="9"/>
  <c r="AM135" i="9"/>
  <c r="AM136" i="9"/>
  <c r="AM137" i="9"/>
  <c r="AM138" i="9"/>
  <c r="AM163" i="9"/>
  <c r="AM164" i="9"/>
  <c r="AM165" i="9"/>
  <c r="AM166" i="9"/>
  <c r="AM167" i="9"/>
  <c r="AM168" i="9"/>
  <c r="AM169" i="9"/>
  <c r="AM170" i="9"/>
  <c r="AM171" i="9"/>
  <c r="AM172" i="9"/>
  <c r="AM173" i="9"/>
  <c r="AM174" i="9"/>
  <c r="AM175" i="9"/>
  <c r="AM176" i="9"/>
  <c r="AM177" i="9"/>
  <c r="AM178" i="9"/>
  <c r="AM179" i="9"/>
  <c r="AM180" i="9"/>
  <c r="AM181" i="9"/>
  <c r="AM182" i="9"/>
  <c r="AM183" i="9"/>
  <c r="AM184" i="9"/>
  <c r="AM185" i="9"/>
  <c r="AM186" i="9"/>
  <c r="AM187" i="9"/>
  <c r="AM188" i="9"/>
  <c r="AM189" i="9"/>
  <c r="AM190" i="9"/>
  <c r="AM191" i="9"/>
  <c r="AM192" i="9"/>
  <c r="AM193" i="9"/>
  <c r="AM194" i="9"/>
  <c r="AM195" i="9"/>
  <c r="AM196" i="9"/>
  <c r="AM197" i="9"/>
  <c r="AM199" i="9"/>
  <c r="AM200" i="9"/>
  <c r="AM201" i="9"/>
  <c r="AM202" i="9"/>
  <c r="AM203" i="9"/>
  <c r="AM204" i="9"/>
  <c r="AM205" i="9"/>
  <c r="AM206" i="9"/>
  <c r="AM207" i="9"/>
  <c r="AM208" i="9"/>
  <c r="AM210" i="9"/>
  <c r="AM211" i="9"/>
  <c r="AM212" i="9"/>
  <c r="AM213" i="9"/>
  <c r="AM214" i="9"/>
  <c r="AM215" i="9"/>
  <c r="AM216" i="9"/>
  <c r="AM217" i="9"/>
  <c r="AM218" i="9"/>
  <c r="AM219" i="9"/>
  <c r="AM220" i="9"/>
  <c r="AM221" i="9"/>
  <c r="AM222" i="9"/>
  <c r="AM223" i="9"/>
  <c r="AM224" i="9"/>
  <c r="AM225" i="9"/>
  <c r="AM226" i="9"/>
  <c r="AM227" i="9"/>
  <c r="AM228" i="9"/>
  <c r="AM230" i="9"/>
  <c r="AM232" i="9"/>
  <c r="AM233" i="9"/>
  <c r="AM237" i="9"/>
  <c r="AM238" i="9"/>
  <c r="AM239" i="9"/>
  <c r="AM240" i="9"/>
  <c r="AM241" i="9"/>
  <c r="AM242" i="9"/>
  <c r="AM243" i="9"/>
  <c r="AM244" i="9"/>
  <c r="AM245" i="9"/>
  <c r="AM246" i="9"/>
  <c r="AM248" i="9"/>
  <c r="AM249" i="9"/>
  <c r="AM250" i="9"/>
  <c r="AM251" i="9"/>
  <c r="AM252" i="9"/>
  <c r="AM253" i="9"/>
  <c r="AM254" i="9"/>
  <c r="AM255" i="9"/>
  <c r="AM256" i="9"/>
  <c r="AM7" i="9"/>
  <c r="AM8" i="9"/>
  <c r="AM9" i="9"/>
  <c r="AM103" i="9"/>
  <c r="AM139" i="9"/>
  <c r="AM140" i="9"/>
  <c r="AM141" i="9"/>
  <c r="AM142" i="9"/>
  <c r="AM161" i="9"/>
  <c r="AM42" i="9"/>
  <c r="AM43" i="9"/>
  <c r="AM44" i="9"/>
  <c r="AM45" i="9"/>
  <c r="AM46" i="9"/>
  <c r="AM47" i="9"/>
  <c r="AM48" i="9"/>
  <c r="AM49" i="9"/>
  <c r="AM50" i="9"/>
  <c r="AM51" i="9"/>
  <c r="AM52" i="9"/>
  <c r="AM53" i="9"/>
  <c r="AM54" i="9"/>
  <c r="AM55" i="9"/>
  <c r="AM56" i="9"/>
  <c r="AM98" i="9"/>
  <c r="AM102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35" i="9"/>
  <c r="AM15" i="9" l="1"/>
  <c r="AM16" i="9"/>
  <c r="I16" i="9"/>
  <c r="P16" i="9" l="1"/>
  <c r="R16" i="9"/>
  <c r="AM14" i="9"/>
  <c r="AM13" i="9"/>
  <c r="AM12" i="9"/>
  <c r="AM11" i="9"/>
  <c r="AM10" i="9"/>
  <c r="AM5" i="9" l="1"/>
  <c r="AM6" i="9"/>
  <c r="AM4" i="9"/>
  <c r="AE5" i="9"/>
  <c r="AE4" i="9"/>
  <c r="AM258" i="9" l="1"/>
  <c r="AM257" i="9"/>
  <c r="L142" i="9"/>
  <c r="L141" i="9"/>
  <c r="L140" i="9"/>
  <c r="S139" i="9"/>
  <c r="L139" i="9"/>
  <c r="N141" i="9" l="1"/>
  <c r="S141" i="9"/>
  <c r="N140" i="9"/>
  <c r="S140" i="9"/>
  <c r="N142" i="9"/>
  <c r="S142" i="9"/>
  <c r="N139" i="9"/>
  <c r="U103" i="9"/>
  <c r="P103" i="9" l="1"/>
  <c r="U9" i="9"/>
  <c r="U8" i="9"/>
  <c r="U7" i="9"/>
  <c r="I9" i="9"/>
  <c r="U257" i="9" l="1"/>
  <c r="U258" i="9"/>
  <c r="I258" i="9"/>
  <c r="I257" i="9"/>
  <c r="P9" i="9"/>
  <c r="P257" i="9" s="1"/>
  <c r="R9" i="9"/>
  <c r="R257" i="9" s="1"/>
  <c r="R7" i="9"/>
  <c r="P7" i="9"/>
  <c r="R8" i="9"/>
  <c r="P8" i="9"/>
  <c r="AK256" i="9"/>
  <c r="AI256" i="9"/>
  <c r="AG256" i="9"/>
  <c r="AE256" i="9"/>
  <c r="N256" i="9"/>
  <c r="L256" i="9"/>
  <c r="AK255" i="9"/>
  <c r="AI255" i="9"/>
  <c r="AG255" i="9"/>
  <c r="AE255" i="9"/>
  <c r="N255" i="9"/>
  <c r="L255" i="9"/>
  <c r="AK254" i="9"/>
  <c r="AI254" i="9"/>
  <c r="AG254" i="9"/>
  <c r="AE254" i="9"/>
  <c r="N254" i="9"/>
  <c r="L254" i="9"/>
  <c r="AK253" i="9"/>
  <c r="AI253" i="9"/>
  <c r="AG253" i="9"/>
  <c r="AE253" i="9"/>
  <c r="N253" i="9"/>
  <c r="L253" i="9"/>
  <c r="AK252" i="9"/>
  <c r="AI252" i="9"/>
  <c r="AG252" i="9"/>
  <c r="AE252" i="9"/>
  <c r="N252" i="9"/>
  <c r="L252" i="9"/>
  <c r="AK251" i="9"/>
  <c r="AI251" i="9"/>
  <c r="AG251" i="9"/>
  <c r="AE251" i="9"/>
  <c r="N251" i="9"/>
  <c r="L251" i="9"/>
  <c r="AK250" i="9"/>
  <c r="AI250" i="9"/>
  <c r="AG250" i="9"/>
  <c r="AE250" i="9"/>
  <c r="N250" i="9"/>
  <c r="L250" i="9"/>
  <c r="AK249" i="9"/>
  <c r="AI249" i="9"/>
  <c r="AG249" i="9"/>
  <c r="AE249" i="9"/>
  <c r="N249" i="9"/>
  <c r="L249" i="9"/>
  <c r="AK248" i="9"/>
  <c r="AI248" i="9"/>
  <c r="AG248" i="9"/>
  <c r="AE248" i="9"/>
  <c r="N248" i="9"/>
  <c r="L248" i="9"/>
  <c r="AK247" i="9"/>
  <c r="N247" i="9"/>
  <c r="L247" i="9"/>
  <c r="AK246" i="9"/>
  <c r="AI246" i="9"/>
  <c r="AG246" i="9"/>
  <c r="AE246" i="9"/>
  <c r="N246" i="9"/>
  <c r="L246" i="9"/>
  <c r="AK245" i="9"/>
  <c r="AI245" i="9"/>
  <c r="AG245" i="9"/>
  <c r="AE245" i="9"/>
  <c r="N245" i="9"/>
  <c r="L245" i="9"/>
  <c r="AK244" i="9"/>
  <c r="AI244" i="9"/>
  <c r="AG244" i="9"/>
  <c r="AE244" i="9"/>
  <c r="N244" i="9"/>
  <c r="L244" i="9"/>
  <c r="AK243" i="9"/>
  <c r="AI243" i="9"/>
  <c r="AG243" i="9"/>
  <c r="AE243" i="9"/>
  <c r="N243" i="9"/>
  <c r="L243" i="9"/>
  <c r="AK242" i="9"/>
  <c r="AI242" i="9"/>
  <c r="AG242" i="9"/>
  <c r="AE242" i="9"/>
  <c r="N242" i="9"/>
  <c r="L242" i="9"/>
  <c r="AK241" i="9"/>
  <c r="AI241" i="9"/>
  <c r="AG241" i="9"/>
  <c r="AE241" i="9"/>
  <c r="N241" i="9"/>
  <c r="L241" i="9"/>
  <c r="AK240" i="9"/>
  <c r="AI240" i="9"/>
  <c r="AG240" i="9"/>
  <c r="AE240" i="9"/>
  <c r="N240" i="9"/>
  <c r="L240" i="9"/>
  <c r="AK239" i="9"/>
  <c r="AI239" i="9"/>
  <c r="AG239" i="9"/>
  <c r="AE239" i="9"/>
  <c r="N239" i="9"/>
  <c r="L239" i="9"/>
  <c r="AK238" i="9"/>
  <c r="AI238" i="9"/>
  <c r="AG238" i="9"/>
  <c r="AE238" i="9"/>
  <c r="N238" i="9"/>
  <c r="L238" i="9"/>
  <c r="AI237" i="9"/>
  <c r="AG237" i="9"/>
  <c r="AE237" i="9"/>
  <c r="N237" i="9"/>
  <c r="L237" i="9"/>
  <c r="AI236" i="9"/>
  <c r="AG236" i="9"/>
  <c r="AE236" i="9"/>
  <c r="N236" i="9"/>
  <c r="L236" i="9"/>
  <c r="AI235" i="9"/>
  <c r="AG235" i="9"/>
  <c r="AE235" i="9"/>
  <c r="N235" i="9"/>
  <c r="L235" i="9"/>
  <c r="AI234" i="9"/>
  <c r="AG234" i="9"/>
  <c r="AE234" i="9"/>
  <c r="N234" i="9"/>
  <c r="L234" i="9"/>
  <c r="AK233" i="9"/>
  <c r="AI233" i="9"/>
  <c r="AG233" i="9"/>
  <c r="AE233" i="9"/>
  <c r="N233" i="9"/>
  <c r="L233" i="9"/>
  <c r="AK232" i="9"/>
  <c r="AI232" i="9"/>
  <c r="AG232" i="9"/>
  <c r="AE232" i="9"/>
  <c r="N232" i="9"/>
  <c r="L232" i="9"/>
  <c r="AK231" i="9"/>
  <c r="AI231" i="9"/>
  <c r="AG231" i="9"/>
  <c r="AE231" i="9"/>
  <c r="N231" i="9"/>
  <c r="L231" i="9"/>
  <c r="AK230" i="9"/>
  <c r="AI230" i="9"/>
  <c r="AG230" i="9"/>
  <c r="AE230" i="9"/>
  <c r="N230" i="9"/>
  <c r="L230" i="9"/>
  <c r="AK229" i="9"/>
  <c r="AI229" i="9"/>
  <c r="AG229" i="9"/>
  <c r="AE229" i="9"/>
  <c r="N229" i="9"/>
  <c r="L229" i="9"/>
  <c r="AK228" i="9"/>
  <c r="AI228" i="9"/>
  <c r="AG228" i="9"/>
  <c r="AE228" i="9"/>
  <c r="N228" i="9"/>
  <c r="L228" i="9"/>
  <c r="AK227" i="9"/>
  <c r="AI227" i="9"/>
  <c r="AG227" i="9"/>
  <c r="AE227" i="9"/>
  <c r="N227" i="9"/>
  <c r="L227" i="9"/>
  <c r="AK226" i="9"/>
  <c r="AI226" i="9"/>
  <c r="AG226" i="9"/>
  <c r="AE226" i="9"/>
  <c r="N226" i="9"/>
  <c r="L226" i="9"/>
  <c r="AK225" i="9"/>
  <c r="AI225" i="9"/>
  <c r="AG225" i="9"/>
  <c r="AE225" i="9"/>
  <c r="N225" i="9"/>
  <c r="L225" i="9"/>
  <c r="AK224" i="9"/>
  <c r="AI224" i="9"/>
  <c r="AG224" i="9"/>
  <c r="AE224" i="9"/>
  <c r="N224" i="9"/>
  <c r="L224" i="9"/>
  <c r="AK223" i="9"/>
  <c r="AI223" i="9"/>
  <c r="AG223" i="9"/>
  <c r="AE223" i="9"/>
  <c r="N223" i="9"/>
  <c r="L223" i="9"/>
  <c r="AK222" i="9"/>
  <c r="AI222" i="9"/>
  <c r="AG222" i="9"/>
  <c r="AE222" i="9"/>
  <c r="N222" i="9"/>
  <c r="L222" i="9"/>
  <c r="AK221" i="9"/>
  <c r="AI221" i="9"/>
  <c r="AG221" i="9"/>
  <c r="AE221" i="9"/>
  <c r="N221" i="9"/>
  <c r="L221" i="9"/>
  <c r="AK220" i="9"/>
  <c r="AI220" i="9"/>
  <c r="AG220" i="9"/>
  <c r="AE220" i="9"/>
  <c r="N220" i="9"/>
  <c r="L220" i="9"/>
  <c r="AK219" i="9"/>
  <c r="AI219" i="9"/>
  <c r="AG219" i="9"/>
  <c r="AE219" i="9"/>
  <c r="N219" i="9"/>
  <c r="L219" i="9"/>
  <c r="AK218" i="9"/>
  <c r="AI218" i="9"/>
  <c r="AG218" i="9"/>
  <c r="AE218" i="9"/>
  <c r="N218" i="9"/>
  <c r="L218" i="9"/>
  <c r="AK217" i="9"/>
  <c r="AI217" i="9"/>
  <c r="AG217" i="9"/>
  <c r="AE217" i="9"/>
  <c r="N217" i="9"/>
  <c r="L217" i="9"/>
  <c r="AK216" i="9"/>
  <c r="AI216" i="9"/>
  <c r="AG216" i="9"/>
  <c r="AE216" i="9"/>
  <c r="N216" i="9"/>
  <c r="L216" i="9"/>
  <c r="AK215" i="9"/>
  <c r="AI215" i="9"/>
  <c r="AG215" i="9"/>
  <c r="AE215" i="9"/>
  <c r="N215" i="9"/>
  <c r="L215" i="9"/>
  <c r="AK214" i="9"/>
  <c r="AI214" i="9"/>
  <c r="AG214" i="9"/>
  <c r="AE214" i="9"/>
  <c r="N214" i="9"/>
  <c r="L214" i="9"/>
  <c r="AK213" i="9"/>
  <c r="AI213" i="9"/>
  <c r="AG213" i="9"/>
  <c r="AE213" i="9"/>
  <c r="N213" i="9"/>
  <c r="L213" i="9"/>
  <c r="AK212" i="9"/>
  <c r="AI212" i="9"/>
  <c r="AG212" i="9"/>
  <c r="AE212" i="9"/>
  <c r="N212" i="9"/>
  <c r="L212" i="9"/>
  <c r="AK211" i="9"/>
  <c r="AI211" i="9"/>
  <c r="AG211" i="9"/>
  <c r="AE211" i="9"/>
  <c r="N211" i="9"/>
  <c r="L211" i="9"/>
  <c r="AK210" i="9"/>
  <c r="AI210" i="9"/>
  <c r="AG210" i="9"/>
  <c r="AE210" i="9"/>
  <c r="N210" i="9"/>
  <c r="L210" i="9"/>
  <c r="AK208" i="9"/>
  <c r="AI208" i="9"/>
  <c r="AG208" i="9"/>
  <c r="AE208" i="9"/>
  <c r="N208" i="9"/>
  <c r="L208" i="9"/>
  <c r="AK207" i="9"/>
  <c r="AI207" i="9"/>
  <c r="AG207" i="9"/>
  <c r="AE207" i="9"/>
  <c r="N207" i="9"/>
  <c r="L207" i="9"/>
  <c r="AK206" i="9"/>
  <c r="AI206" i="9"/>
  <c r="AG206" i="9"/>
  <c r="AE206" i="9"/>
  <c r="N206" i="9"/>
  <c r="L206" i="9"/>
  <c r="AK205" i="9"/>
  <c r="AI205" i="9"/>
  <c r="AG205" i="9"/>
  <c r="AE205" i="9"/>
  <c r="N205" i="9"/>
  <c r="L205" i="9"/>
  <c r="AK204" i="9"/>
  <c r="AI204" i="9"/>
  <c r="AG204" i="9"/>
  <c r="AE204" i="9"/>
  <c r="N204" i="9"/>
  <c r="L204" i="9"/>
  <c r="AK203" i="9"/>
  <c r="AI203" i="9"/>
  <c r="AG203" i="9"/>
  <c r="AE203" i="9"/>
  <c r="N203" i="9"/>
  <c r="L203" i="9"/>
  <c r="AK202" i="9"/>
  <c r="AI202" i="9"/>
  <c r="AG202" i="9"/>
  <c r="AE202" i="9"/>
  <c r="N202" i="9"/>
  <c r="L202" i="9"/>
  <c r="AK201" i="9"/>
  <c r="AI201" i="9"/>
  <c r="AG201" i="9"/>
  <c r="AE201" i="9"/>
  <c r="N201" i="9"/>
  <c r="L201" i="9"/>
  <c r="AK200" i="9"/>
  <c r="AI200" i="9"/>
  <c r="AG200" i="9"/>
  <c r="AE200" i="9"/>
  <c r="N200" i="9"/>
  <c r="L200" i="9"/>
  <c r="AK199" i="9"/>
  <c r="AI199" i="9"/>
  <c r="AG199" i="9"/>
  <c r="AE199" i="9"/>
  <c r="N199" i="9"/>
  <c r="L199" i="9"/>
  <c r="AK198" i="9"/>
  <c r="AI198" i="9"/>
  <c r="AG198" i="9"/>
  <c r="AE198" i="9"/>
  <c r="N198" i="9"/>
  <c r="L198" i="9"/>
  <c r="AK197" i="9"/>
  <c r="AI197" i="9"/>
  <c r="AG197" i="9"/>
  <c r="AE197" i="9"/>
  <c r="N197" i="9"/>
  <c r="L197" i="9"/>
  <c r="AK196" i="9"/>
  <c r="AI196" i="9"/>
  <c r="AG196" i="9"/>
  <c r="AE196" i="9"/>
  <c r="N196" i="9"/>
  <c r="L196" i="9"/>
  <c r="AK195" i="9"/>
  <c r="AI195" i="9"/>
  <c r="AG195" i="9"/>
  <c r="AE195" i="9"/>
  <c r="N195" i="9"/>
  <c r="L195" i="9"/>
  <c r="AK194" i="9"/>
  <c r="AI194" i="9"/>
  <c r="AG194" i="9"/>
  <c r="AE194" i="9"/>
  <c r="N194" i="9"/>
  <c r="L194" i="9"/>
  <c r="AK193" i="9"/>
  <c r="AI193" i="9"/>
  <c r="AG193" i="9"/>
  <c r="AE193" i="9"/>
  <c r="N193" i="9"/>
  <c r="L193" i="9"/>
  <c r="AK192" i="9"/>
  <c r="AI192" i="9"/>
  <c r="AG192" i="9"/>
  <c r="AE192" i="9"/>
  <c r="N192" i="9"/>
  <c r="L192" i="9"/>
  <c r="AK191" i="9"/>
  <c r="AI191" i="9"/>
  <c r="AG191" i="9"/>
  <c r="AE191" i="9"/>
  <c r="N191" i="9"/>
  <c r="L191" i="9"/>
  <c r="AK190" i="9"/>
  <c r="AI190" i="9"/>
  <c r="AG190" i="9"/>
  <c r="AE190" i="9"/>
  <c r="N190" i="9"/>
  <c r="L190" i="9"/>
  <c r="AK189" i="9"/>
  <c r="AI189" i="9"/>
  <c r="AG189" i="9"/>
  <c r="AE189" i="9"/>
  <c r="N189" i="9"/>
  <c r="L189" i="9"/>
  <c r="AK188" i="9"/>
  <c r="AI188" i="9"/>
  <c r="AG188" i="9"/>
  <c r="AE188" i="9"/>
  <c r="N188" i="9"/>
  <c r="L188" i="9"/>
  <c r="AK187" i="9"/>
  <c r="AI187" i="9"/>
  <c r="AG187" i="9"/>
  <c r="AE187" i="9"/>
  <c r="N187" i="9"/>
  <c r="L187" i="9"/>
  <c r="AK186" i="9"/>
  <c r="AI186" i="9"/>
  <c r="AG186" i="9"/>
  <c r="AE186" i="9"/>
  <c r="N186" i="9"/>
  <c r="L186" i="9"/>
  <c r="AK185" i="9"/>
  <c r="AI185" i="9"/>
  <c r="AG185" i="9"/>
  <c r="AE185" i="9"/>
  <c r="N185" i="9"/>
  <c r="L185" i="9"/>
  <c r="AK184" i="9"/>
  <c r="AI184" i="9"/>
  <c r="AG184" i="9"/>
  <c r="AE184" i="9"/>
  <c r="N184" i="9"/>
  <c r="AK183" i="9"/>
  <c r="AI183" i="9"/>
  <c r="AG183" i="9"/>
  <c r="AE183" i="9"/>
  <c r="N183" i="9"/>
  <c r="L183" i="9"/>
  <c r="AK182" i="9"/>
  <c r="AI182" i="9"/>
  <c r="AG182" i="9"/>
  <c r="AE182" i="9"/>
  <c r="N182" i="9"/>
  <c r="L182" i="9"/>
  <c r="AK181" i="9"/>
  <c r="AI181" i="9"/>
  <c r="AG181" i="9"/>
  <c r="AE181" i="9"/>
  <c r="N181" i="9"/>
  <c r="L181" i="9"/>
  <c r="AK180" i="9"/>
  <c r="AI180" i="9"/>
  <c r="AG180" i="9"/>
  <c r="AE180" i="9"/>
  <c r="N180" i="9"/>
  <c r="L180" i="9"/>
  <c r="AK179" i="9"/>
  <c r="AI179" i="9"/>
  <c r="AG179" i="9"/>
  <c r="AE179" i="9"/>
  <c r="N179" i="9"/>
  <c r="L179" i="9"/>
  <c r="AK178" i="9"/>
  <c r="AI178" i="9"/>
  <c r="AG178" i="9"/>
  <c r="AE178" i="9"/>
  <c r="N178" i="9"/>
  <c r="L178" i="9"/>
  <c r="AK177" i="9"/>
  <c r="AI177" i="9"/>
  <c r="AG177" i="9"/>
  <c r="AE177" i="9"/>
  <c r="N177" i="9"/>
  <c r="L177" i="9"/>
  <c r="AK176" i="9"/>
  <c r="AI176" i="9"/>
  <c r="AG176" i="9"/>
  <c r="AE176" i="9"/>
  <c r="N176" i="9"/>
  <c r="L176" i="9"/>
  <c r="AK175" i="9"/>
  <c r="AI175" i="9"/>
  <c r="AG175" i="9"/>
  <c r="AE175" i="9"/>
  <c r="N175" i="9"/>
  <c r="L175" i="9"/>
  <c r="AK174" i="9"/>
  <c r="AI174" i="9"/>
  <c r="AG174" i="9"/>
  <c r="AE174" i="9"/>
  <c r="N174" i="9"/>
  <c r="L174" i="9"/>
  <c r="AK173" i="9"/>
  <c r="AI173" i="9"/>
  <c r="AG173" i="9"/>
  <c r="AE173" i="9"/>
  <c r="N173" i="9"/>
  <c r="L173" i="9"/>
  <c r="AK172" i="9"/>
  <c r="AI172" i="9"/>
  <c r="AG172" i="9"/>
  <c r="AE172" i="9"/>
  <c r="N172" i="9"/>
  <c r="L172" i="9"/>
  <c r="AK171" i="9"/>
  <c r="AI171" i="9"/>
  <c r="AG171" i="9"/>
  <c r="AE171" i="9"/>
  <c r="N171" i="9"/>
  <c r="L171" i="9"/>
  <c r="AK170" i="9"/>
  <c r="AI170" i="9"/>
  <c r="AG170" i="9"/>
  <c r="AE170" i="9"/>
  <c r="N170" i="9"/>
  <c r="L170" i="9"/>
  <c r="AK169" i="9"/>
  <c r="AI169" i="9"/>
  <c r="AG169" i="9"/>
  <c r="AE169" i="9"/>
  <c r="N169" i="9"/>
  <c r="L169" i="9"/>
  <c r="AK168" i="9"/>
  <c r="AI168" i="9"/>
  <c r="AG168" i="9"/>
  <c r="AE168" i="9"/>
  <c r="N168" i="9"/>
  <c r="L168" i="9"/>
  <c r="AK167" i="9"/>
  <c r="AI167" i="9"/>
  <c r="AG167" i="9"/>
  <c r="AE167" i="9"/>
  <c r="N167" i="9"/>
  <c r="L167" i="9"/>
  <c r="AK166" i="9"/>
  <c r="AI166" i="9"/>
  <c r="AG166" i="9"/>
  <c r="AE166" i="9"/>
  <c r="N166" i="9"/>
  <c r="L166" i="9"/>
  <c r="AK165" i="9"/>
  <c r="AI165" i="9"/>
  <c r="AG165" i="9"/>
  <c r="AE165" i="9"/>
  <c r="N165" i="9"/>
  <c r="L165" i="9"/>
  <c r="AK164" i="9"/>
  <c r="AI164" i="9"/>
  <c r="AG164" i="9"/>
  <c r="AE164" i="9"/>
  <c r="N164" i="9"/>
  <c r="L164" i="9"/>
  <c r="AK163" i="9"/>
  <c r="AI163" i="9"/>
  <c r="AG163" i="9"/>
  <c r="AE163" i="9"/>
  <c r="N163" i="9"/>
  <c r="L163" i="9"/>
  <c r="AK138" i="9"/>
  <c r="AI138" i="9"/>
  <c r="AG138" i="9"/>
  <c r="AE138" i="9"/>
  <c r="N138" i="9"/>
  <c r="L138" i="9"/>
  <c r="AK137" i="9"/>
  <c r="AI137" i="9"/>
  <c r="AG137" i="9"/>
  <c r="AE137" i="9"/>
  <c r="N137" i="9"/>
  <c r="L137" i="9"/>
  <c r="AK136" i="9"/>
  <c r="AI136" i="9"/>
  <c r="AG136" i="9"/>
  <c r="AE136" i="9"/>
  <c r="N136" i="9"/>
  <c r="L136" i="9"/>
  <c r="AK135" i="9"/>
  <c r="AI135" i="9"/>
  <c r="AG135" i="9"/>
  <c r="AE135" i="9"/>
  <c r="N135" i="9"/>
  <c r="L135" i="9"/>
  <c r="AK134" i="9"/>
  <c r="AI134" i="9"/>
  <c r="AG134" i="9"/>
  <c r="AE134" i="9"/>
  <c r="N134" i="9"/>
  <c r="L134" i="9"/>
  <c r="AK133" i="9"/>
  <c r="AI133" i="9"/>
  <c r="AG133" i="9"/>
  <c r="AE133" i="9"/>
  <c r="N133" i="9"/>
  <c r="L133" i="9"/>
  <c r="AK132" i="9"/>
  <c r="AI132" i="9"/>
  <c r="AG132" i="9"/>
  <c r="AE132" i="9"/>
  <c r="N132" i="9"/>
  <c r="L132" i="9"/>
  <c r="AK131" i="9"/>
  <c r="AI131" i="9"/>
  <c r="AG131" i="9"/>
  <c r="AE131" i="9"/>
  <c r="N131" i="9"/>
  <c r="L131" i="9"/>
  <c r="AK130" i="9"/>
  <c r="AI130" i="9"/>
  <c r="AG130" i="9"/>
  <c r="AE130" i="9"/>
  <c r="N130" i="9"/>
  <c r="L130" i="9"/>
  <c r="AK129" i="9"/>
  <c r="AI129" i="9"/>
  <c r="AG129" i="9"/>
  <c r="AE129" i="9"/>
  <c r="N129" i="9"/>
  <c r="L129" i="9"/>
  <c r="AK128" i="9"/>
  <c r="AI128" i="9"/>
  <c r="AG128" i="9"/>
  <c r="AE128" i="9"/>
  <c r="N128" i="9"/>
  <c r="L128" i="9"/>
  <c r="AK127" i="9"/>
  <c r="AI127" i="9"/>
  <c r="AG127" i="9"/>
  <c r="AE127" i="9"/>
  <c r="N127" i="9"/>
  <c r="L127" i="9"/>
  <c r="AK126" i="9"/>
  <c r="AI126" i="9"/>
  <c r="AG126" i="9"/>
  <c r="AE126" i="9"/>
  <c r="N126" i="9"/>
  <c r="L126" i="9"/>
  <c r="AK125" i="9"/>
  <c r="AI125" i="9"/>
  <c r="AG125" i="9"/>
  <c r="AE125" i="9"/>
  <c r="N125" i="9"/>
  <c r="L125" i="9"/>
  <c r="AK124" i="9"/>
  <c r="AI124" i="9"/>
  <c r="AG124" i="9"/>
  <c r="AE124" i="9"/>
  <c r="N124" i="9"/>
  <c r="L124" i="9"/>
  <c r="AK123" i="9"/>
  <c r="AI123" i="9"/>
  <c r="AG123" i="9"/>
  <c r="AE123" i="9"/>
  <c r="N123" i="9"/>
  <c r="L123" i="9"/>
  <c r="AK122" i="9"/>
  <c r="AI122" i="9"/>
  <c r="AG122" i="9"/>
  <c r="AE122" i="9"/>
  <c r="N122" i="9"/>
  <c r="L122" i="9"/>
  <c r="AK121" i="9"/>
  <c r="AI121" i="9"/>
  <c r="AG121" i="9"/>
  <c r="AE121" i="9"/>
  <c r="N121" i="9"/>
  <c r="L121" i="9"/>
  <c r="AK120" i="9"/>
  <c r="AI120" i="9"/>
  <c r="AG120" i="9"/>
  <c r="AE120" i="9"/>
  <c r="N120" i="9"/>
  <c r="L120" i="9"/>
  <c r="AK119" i="9"/>
  <c r="AI119" i="9"/>
  <c r="AG119" i="9"/>
  <c r="AE119" i="9"/>
  <c r="N119" i="9"/>
  <c r="L119" i="9"/>
  <c r="AK118" i="9"/>
  <c r="AI118" i="9"/>
  <c r="AG118" i="9"/>
  <c r="AE118" i="9"/>
  <c r="N118" i="9"/>
  <c r="L118" i="9"/>
  <c r="AK117" i="9"/>
  <c r="AI117" i="9"/>
  <c r="AG117" i="9"/>
  <c r="AE117" i="9"/>
  <c r="N117" i="9"/>
  <c r="L117" i="9"/>
  <c r="AK116" i="9"/>
  <c r="AI116" i="9"/>
  <c r="AG116" i="9"/>
  <c r="AE116" i="9"/>
  <c r="N116" i="9"/>
  <c r="L116" i="9"/>
  <c r="AK115" i="9"/>
  <c r="AI115" i="9"/>
  <c r="AG115" i="9"/>
  <c r="AE115" i="9"/>
  <c r="N115" i="9"/>
  <c r="L115" i="9"/>
  <c r="AK114" i="9"/>
  <c r="AI114" i="9"/>
  <c r="AG114" i="9"/>
  <c r="AE114" i="9"/>
  <c r="N114" i="9"/>
  <c r="L114" i="9"/>
  <c r="AK113" i="9"/>
  <c r="AI113" i="9"/>
  <c r="AG113" i="9"/>
  <c r="AE113" i="9"/>
  <c r="N113" i="9"/>
  <c r="L113" i="9"/>
  <c r="AK108" i="9"/>
  <c r="AI108" i="9"/>
  <c r="AG108" i="9"/>
  <c r="AE108" i="9"/>
  <c r="N108" i="9"/>
  <c r="L108" i="9"/>
  <c r="AK107" i="9"/>
  <c r="AI107" i="9"/>
  <c r="AG107" i="9"/>
  <c r="AE107" i="9"/>
  <c r="N107" i="9"/>
  <c r="L107" i="9"/>
  <c r="AK106" i="9"/>
  <c r="AI106" i="9"/>
  <c r="AG106" i="9"/>
  <c r="AE106" i="9"/>
  <c r="N106" i="9"/>
  <c r="L106" i="9"/>
  <c r="AK105" i="9"/>
  <c r="AI105" i="9"/>
  <c r="AG105" i="9"/>
  <c r="AE105" i="9"/>
  <c r="N105" i="9"/>
  <c r="L105" i="9"/>
  <c r="AK97" i="9"/>
  <c r="AI97" i="9"/>
  <c r="AG97" i="9"/>
  <c r="AE97" i="9"/>
  <c r="N97" i="9"/>
  <c r="L97" i="9"/>
  <c r="AK96" i="9"/>
  <c r="AI96" i="9"/>
  <c r="AG96" i="9"/>
  <c r="AE96" i="9"/>
  <c r="N96" i="9"/>
  <c r="L96" i="9"/>
  <c r="AK95" i="9"/>
  <c r="AI95" i="9"/>
  <c r="AG95" i="9"/>
  <c r="AE95" i="9"/>
  <c r="N95" i="9"/>
  <c r="L95" i="9"/>
  <c r="AK94" i="9"/>
  <c r="AI94" i="9"/>
  <c r="AG94" i="9"/>
  <c r="AE94" i="9"/>
  <c r="N94" i="9"/>
  <c r="L94" i="9"/>
  <c r="AK93" i="9"/>
  <c r="AI93" i="9"/>
  <c r="AG93" i="9"/>
  <c r="AE93" i="9"/>
  <c r="N93" i="9"/>
  <c r="L93" i="9"/>
  <c r="AK92" i="9"/>
  <c r="AI92" i="9"/>
  <c r="AG92" i="9"/>
  <c r="AE92" i="9"/>
  <c r="N92" i="9"/>
  <c r="L92" i="9"/>
  <c r="AK91" i="9"/>
  <c r="AI91" i="9"/>
  <c r="AG91" i="9"/>
  <c r="AE91" i="9"/>
  <c r="N91" i="9"/>
  <c r="L91" i="9"/>
  <c r="AK90" i="9"/>
  <c r="AI90" i="9"/>
  <c r="AG90" i="9"/>
  <c r="AE90" i="9"/>
  <c r="N90" i="9"/>
  <c r="L90" i="9"/>
  <c r="AK89" i="9"/>
  <c r="AI89" i="9"/>
  <c r="AG89" i="9"/>
  <c r="AE89" i="9"/>
  <c r="N89" i="9"/>
  <c r="L89" i="9"/>
  <c r="AK88" i="9"/>
  <c r="AI88" i="9"/>
  <c r="AG88" i="9"/>
  <c r="AE88" i="9"/>
  <c r="N88" i="9"/>
  <c r="L88" i="9"/>
  <c r="AK87" i="9"/>
  <c r="AI87" i="9"/>
  <c r="AG87" i="9"/>
  <c r="AE87" i="9"/>
  <c r="N87" i="9"/>
  <c r="L87" i="9"/>
  <c r="AK85" i="9"/>
  <c r="AI85" i="9"/>
  <c r="AG85" i="9"/>
  <c r="AE85" i="9"/>
  <c r="N85" i="9"/>
  <c r="L85" i="9"/>
  <c r="AK84" i="9"/>
  <c r="AI84" i="9"/>
  <c r="AG84" i="9"/>
  <c r="AE84" i="9"/>
  <c r="N84" i="9"/>
  <c r="L84" i="9"/>
  <c r="AK83" i="9"/>
  <c r="AI83" i="9"/>
  <c r="AG83" i="9"/>
  <c r="AE83" i="9"/>
  <c r="N83" i="9"/>
  <c r="L83" i="9"/>
  <c r="AK82" i="9"/>
  <c r="AI82" i="9"/>
  <c r="AG82" i="9"/>
  <c r="AE82" i="9"/>
  <c r="N82" i="9"/>
  <c r="L82" i="9"/>
  <c r="AK81" i="9"/>
  <c r="AI81" i="9"/>
  <c r="AG81" i="9"/>
  <c r="AE81" i="9"/>
  <c r="N81" i="9"/>
  <c r="L81" i="9"/>
  <c r="AK80" i="9"/>
  <c r="AI80" i="9"/>
  <c r="AG80" i="9"/>
  <c r="AE80" i="9"/>
  <c r="N80" i="9"/>
  <c r="L80" i="9"/>
  <c r="AK79" i="9"/>
  <c r="AI79" i="9"/>
  <c r="AG79" i="9"/>
  <c r="AE79" i="9"/>
  <c r="N79" i="9"/>
  <c r="L79" i="9"/>
  <c r="AK78" i="9"/>
  <c r="AI78" i="9"/>
  <c r="AG78" i="9"/>
  <c r="AE78" i="9"/>
  <c r="N78" i="9"/>
  <c r="L78" i="9"/>
  <c r="AK77" i="9"/>
  <c r="AI77" i="9"/>
  <c r="AG77" i="9"/>
  <c r="AE77" i="9"/>
  <c r="N77" i="9"/>
  <c r="L77" i="9"/>
  <c r="AK76" i="9"/>
  <c r="AI76" i="9"/>
  <c r="AG76" i="9"/>
  <c r="AE76" i="9"/>
  <c r="N76" i="9"/>
  <c r="L76" i="9"/>
  <c r="AK75" i="9"/>
  <c r="AI75" i="9"/>
  <c r="AG75" i="9"/>
  <c r="AE75" i="9"/>
  <c r="N75" i="9"/>
  <c r="L75" i="9"/>
  <c r="AK74" i="9"/>
  <c r="AI74" i="9"/>
  <c r="AG74" i="9"/>
  <c r="AE74" i="9"/>
  <c r="N74" i="9"/>
  <c r="L74" i="9"/>
  <c r="AK73" i="9"/>
  <c r="AI73" i="9"/>
  <c r="AG73" i="9"/>
  <c r="AE73" i="9"/>
  <c r="N73" i="9"/>
  <c r="L73" i="9"/>
  <c r="AK72" i="9"/>
  <c r="AI72" i="9"/>
  <c r="AG72" i="9"/>
  <c r="AE72" i="9"/>
  <c r="N72" i="9"/>
  <c r="L72" i="9"/>
  <c r="AK71" i="9"/>
  <c r="AI71" i="9"/>
  <c r="AG71" i="9"/>
  <c r="AE71" i="9"/>
  <c r="N71" i="9"/>
  <c r="L71" i="9"/>
  <c r="AK70" i="9"/>
  <c r="AI70" i="9"/>
  <c r="AG70" i="9"/>
  <c r="AE70" i="9"/>
  <c r="N70" i="9"/>
  <c r="L70" i="9"/>
  <c r="AK69" i="9"/>
  <c r="AI69" i="9"/>
  <c r="AG69" i="9"/>
  <c r="AE69" i="9"/>
  <c r="N69" i="9"/>
  <c r="L69" i="9"/>
  <c r="AK67" i="9"/>
  <c r="AI67" i="9"/>
  <c r="AG67" i="9"/>
  <c r="AE67" i="9"/>
  <c r="N67" i="9"/>
  <c r="L67" i="9"/>
  <c r="AK59" i="9"/>
  <c r="AI59" i="9"/>
  <c r="AG59" i="9"/>
  <c r="AE59" i="9"/>
  <c r="N59" i="9"/>
  <c r="L59" i="9"/>
  <c r="AK58" i="9"/>
  <c r="AI58" i="9"/>
  <c r="AG58" i="9"/>
  <c r="AE58" i="9"/>
  <c r="N58" i="9"/>
  <c r="L58" i="9"/>
  <c r="AK57" i="9"/>
  <c r="AI57" i="9"/>
  <c r="AG57" i="9"/>
  <c r="AE57" i="9"/>
  <c r="N57" i="9"/>
  <c r="L57" i="9"/>
  <c r="AK41" i="9"/>
  <c r="AI41" i="9"/>
  <c r="AG41" i="9"/>
  <c r="AE41" i="9"/>
  <c r="N41" i="9"/>
  <c r="L41" i="9"/>
  <c r="AK40" i="9"/>
  <c r="AI40" i="9"/>
  <c r="AG40" i="9"/>
  <c r="AE40" i="9"/>
  <c r="N40" i="9"/>
  <c r="L40" i="9"/>
  <c r="AK39" i="9"/>
  <c r="AI39" i="9"/>
  <c r="AG39" i="9"/>
  <c r="AE39" i="9"/>
  <c r="N39" i="9"/>
  <c r="L39" i="9"/>
  <c r="AK38" i="9"/>
  <c r="AI38" i="9"/>
  <c r="AG38" i="9"/>
  <c r="AE38" i="9"/>
  <c r="N38" i="9"/>
  <c r="L38" i="9"/>
  <c r="AK37" i="9"/>
  <c r="AI37" i="9"/>
  <c r="AG37" i="9"/>
  <c r="AE37" i="9"/>
  <c r="N37" i="9"/>
  <c r="L37" i="9"/>
  <c r="AK36" i="9"/>
  <c r="AI36" i="9"/>
  <c r="AG36" i="9"/>
  <c r="AE36" i="9"/>
  <c r="N36" i="9"/>
  <c r="L36" i="9"/>
  <c r="AK35" i="9"/>
  <c r="AI35" i="9"/>
  <c r="AG35" i="9"/>
  <c r="AE35" i="9"/>
  <c r="N35" i="9"/>
  <c r="L35" i="9"/>
  <c r="AK34" i="9"/>
  <c r="AI34" i="9"/>
  <c r="AG34" i="9"/>
  <c r="AE34" i="9"/>
  <c r="N34" i="9"/>
  <c r="L34" i="9"/>
  <c r="AK33" i="9"/>
  <c r="AI33" i="9"/>
  <c r="AG33" i="9"/>
  <c r="AE33" i="9"/>
  <c r="N33" i="9"/>
  <c r="L33" i="9"/>
  <c r="AK32" i="9"/>
  <c r="AI32" i="9"/>
  <c r="AG32" i="9"/>
  <c r="AE32" i="9"/>
  <c r="N32" i="9"/>
  <c r="L32" i="9"/>
  <c r="AK31" i="9"/>
  <c r="AI31" i="9"/>
  <c r="AG31" i="9"/>
  <c r="AE31" i="9"/>
  <c r="N31" i="9"/>
  <c r="L31" i="9"/>
  <c r="AK30" i="9"/>
  <c r="AI30" i="9"/>
  <c r="AG30" i="9"/>
  <c r="AE30" i="9"/>
  <c r="N30" i="9"/>
  <c r="L30" i="9"/>
  <c r="AK29" i="9"/>
  <c r="AI29" i="9"/>
  <c r="AG29" i="9"/>
  <c r="AE29" i="9"/>
  <c r="N29" i="9"/>
  <c r="L29" i="9"/>
  <c r="AK28" i="9"/>
  <c r="AI28" i="9"/>
  <c r="AG28" i="9"/>
  <c r="AE28" i="9"/>
  <c r="N28" i="9"/>
  <c r="L28" i="9"/>
  <c r="AK27" i="9"/>
  <c r="AI27" i="9"/>
  <c r="AG27" i="9"/>
  <c r="AE27" i="9"/>
  <c r="N27" i="9"/>
  <c r="L27" i="9"/>
  <c r="AK26" i="9"/>
  <c r="AI26" i="9"/>
  <c r="AG26" i="9"/>
  <c r="AE26" i="9"/>
  <c r="N26" i="9"/>
  <c r="L26" i="9"/>
  <c r="AK25" i="9"/>
  <c r="AI25" i="9"/>
  <c r="AG25" i="9"/>
  <c r="AE25" i="9"/>
  <c r="N25" i="9"/>
  <c r="L25" i="9"/>
  <c r="AK24" i="9"/>
  <c r="AI24" i="9"/>
  <c r="AG24" i="9"/>
  <c r="AE24" i="9"/>
  <c r="N24" i="9"/>
  <c r="L24" i="9"/>
  <c r="AK23" i="9"/>
  <c r="AI23" i="9"/>
  <c r="AG23" i="9"/>
  <c r="AE23" i="9"/>
  <c r="N23" i="9"/>
  <c r="L23" i="9"/>
  <c r="AK22" i="9"/>
  <c r="AI22" i="9"/>
  <c r="AG22" i="9"/>
  <c r="AE22" i="9"/>
  <c r="N22" i="9"/>
  <c r="L22" i="9"/>
  <c r="AK21" i="9"/>
  <c r="AI21" i="9"/>
  <c r="AG21" i="9"/>
  <c r="AE21" i="9"/>
  <c r="N21" i="9"/>
  <c r="L21" i="9"/>
  <c r="AK20" i="9"/>
  <c r="AI20" i="9"/>
  <c r="AG20" i="9"/>
  <c r="AE20" i="9"/>
  <c r="N20" i="9"/>
  <c r="L20" i="9"/>
  <c r="AK19" i="9"/>
  <c r="AI19" i="9"/>
  <c r="AG19" i="9"/>
  <c r="AE19" i="9"/>
  <c r="N19" i="9"/>
  <c r="L19" i="9"/>
  <c r="AK18" i="9"/>
  <c r="AI18" i="9"/>
  <c r="AG18" i="9"/>
  <c r="AE18" i="9"/>
  <c r="N18" i="9"/>
  <c r="L18" i="9"/>
  <c r="AK17" i="9"/>
  <c r="AI17" i="9"/>
  <c r="AG17" i="9"/>
  <c r="AE17" i="9"/>
  <c r="N17" i="9"/>
  <c r="L17" i="9"/>
  <c r="AK16" i="9"/>
  <c r="AI16" i="9"/>
  <c r="AG16" i="9"/>
  <c r="AE16" i="9"/>
  <c r="N16" i="9"/>
  <c r="L16" i="9"/>
  <c r="AK15" i="9"/>
  <c r="AI15" i="9"/>
  <c r="AG15" i="9"/>
  <c r="AE15" i="9"/>
  <c r="N15" i="9"/>
  <c r="L15" i="9"/>
  <c r="AK14" i="9"/>
  <c r="AI14" i="9"/>
  <c r="AG14" i="9"/>
  <c r="AE14" i="9"/>
  <c r="N14" i="9"/>
  <c r="L14" i="9"/>
  <c r="AK13" i="9"/>
  <c r="AI13" i="9"/>
  <c r="AG13" i="9"/>
  <c r="AE13" i="9"/>
  <c r="N13" i="9"/>
  <c r="L13" i="9"/>
  <c r="AK12" i="9"/>
  <c r="AI12" i="9"/>
  <c r="AG12" i="9"/>
  <c r="AE12" i="9"/>
  <c r="N12" i="9"/>
  <c r="L12" i="9"/>
  <c r="AK11" i="9"/>
  <c r="AI11" i="9"/>
  <c r="AG11" i="9"/>
  <c r="AE11" i="9"/>
  <c r="N11" i="9"/>
  <c r="L11" i="9"/>
  <c r="AK10" i="9"/>
  <c r="AI10" i="9"/>
  <c r="AG10" i="9"/>
  <c r="AE10" i="9"/>
  <c r="N10" i="9"/>
  <c r="L10" i="9"/>
  <c r="AK6" i="9"/>
  <c r="AI6" i="9"/>
  <c r="AG6" i="9"/>
  <c r="AE6" i="9"/>
  <c r="N6" i="9"/>
  <c r="L6" i="9"/>
  <c r="AK5" i="9"/>
  <c r="AI5" i="9"/>
  <c r="AG5" i="9"/>
  <c r="N5" i="9"/>
  <c r="L5" i="9"/>
  <c r="AK4" i="9"/>
  <c r="AI4" i="9"/>
  <c r="AG4" i="9"/>
  <c r="N4" i="9"/>
  <c r="L4" i="9"/>
  <c r="L257" i="9" l="1"/>
  <c r="N257" i="9"/>
  <c r="L258" i="9"/>
  <c r="AE258" i="9"/>
  <c r="AE257" i="9"/>
  <c r="N258" i="9"/>
  <c r="AG258" i="9"/>
  <c r="AG257" i="9"/>
  <c r="R258" i="9"/>
  <c r="AI258" i="9"/>
  <c r="AI257" i="9"/>
  <c r="AK257" i="9"/>
  <c r="P258" i="9"/>
</calcChain>
</file>

<file path=xl/comments1.xml><?xml version="1.0" encoding="utf-8"?>
<comments xmlns="http://schemas.openxmlformats.org/spreadsheetml/2006/main">
  <authors>
    <author>Projects</author>
    <author>Zac Xi.</author>
    <author>Author</author>
  </authors>
  <commentList>
    <comment ref="Q28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In 2014-15, Marine was just one category. This was divided into Marine-harbour and Marine-coastal in 2015-16. Since this council did not respond in 2015-16, we are unsure of whether which category it goes into.
Therefore, the plant locations were used to try and determine whether it would be in coastal or harbour.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Allegedly "Low effluent quality from old plant would better put this in the category of Secondary Treatment plus UV.</t>
        </r>
        <r>
          <rPr>
            <b/>
            <sz val="9"/>
            <color indexed="81"/>
            <rFont val="Tahoma"/>
            <family val="2"/>
          </rPr>
          <t>"</t>
        </r>
      </text>
    </comment>
    <comment ref="E86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OR 
P:\WATER NEW ZEALAND\PRO - PROJECTS\WWINV-WWTP INVENTORY\PRO-WIN-1\3. Individual spreadsheets\121206 Kaikoura WWTP.xlsx
</t>
        </r>
      </text>
    </comment>
    <comment ref="M90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Added this based on 2014-15 data</t>
        </r>
      </text>
    </comment>
    <comment ref="F96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Maybe should be 1690144.9 instead</t>
        </r>
      </text>
    </comment>
    <comment ref="Q103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In 2014-15, Marine was just one category. This was divided into Marine-harbour and Marine-coastal in 2015-16. Since this council did not respond in 2015-16, we are unsure of whether which category it goes into.
Therefore, the plant locations were used to try and determine whether it would be in coastal or harbour.</t>
        </r>
      </text>
    </comment>
    <comment ref="E11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1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2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2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2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2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2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2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3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3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31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31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32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32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3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3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3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Data sourced from 120822_NZ_Wastewater Treatment Plant Locations prelim</t>
        </r>
      </text>
    </comment>
    <comment ref="F13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X139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Unsure if discharge to air consents also include discharge of effluent consent</t>
        </r>
      </text>
    </comment>
    <comment ref="A143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No data
</t>
        </r>
      </text>
    </comment>
    <comment ref="Q144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In 2014-15, Marine was just one category. This was divided into Marine-harbour and Marine-coastal in 2015-16. Since this council did not respond in 2015-16, we are unsure of whether which category it goes into.
Therefore, the plant locations were used to try and determine whether it would be in coastal or harbour.</t>
        </r>
      </text>
    </comment>
    <comment ref="Q150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In 2014-15, Marine was just one category. This was divided into Marine-harbour and Marine-coastal in 2015-16. Since this council did not respond in 2015-16, we are unsure of whether which category it goes into.
Therefore, the plant locations were used to try and determine whether it would be in coastal or harbour.</t>
        </r>
      </text>
    </comment>
    <comment ref="Q151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In 2014-15, Marine was just one category. This was divided into Marine-harbour and Marine-coastal in 2015-16. Since this council did not respond in 2015-16, we are unsure of whether which category it goes into.
Therefore, the plant locations were used to try and determine whether it would be in coastal or harbour.</t>
        </r>
      </text>
    </comment>
    <comment ref="W161" authorId="2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Ponds last desludged 2007 under a separate consent that has now expired.
The sludge went to landfill</t>
        </r>
      </text>
    </comment>
    <comment ref="AA170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1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2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3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4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5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6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7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8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9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80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81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E18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8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85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85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86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86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8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8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8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8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8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8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9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9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91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91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96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96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9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9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9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9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0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0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01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01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02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02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0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0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0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0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Multiple plants so just using Woodend WWTP</t>
        </r>
      </text>
    </comment>
    <comment ref="F205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Multiples plants so just using Woodend WWTP</t>
        </r>
      </text>
    </comment>
    <comment ref="E21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1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15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15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16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16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1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1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1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1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1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1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2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21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1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22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2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2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5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26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6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2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2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2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3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3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31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31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Q238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In 2014-15, Marine was just one category. This was divided into Marine-harbour and Marine-coastal in 2015-16. Since this council did not respond in 2015-16, we are unsure of whether which category it goes into.
Therefore, the plant locations were used to try and determine whether it would be in coastal or harbour.</t>
        </r>
      </text>
    </comment>
    <comment ref="T248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States 15% overall, doesn't have individual numbers</t>
        </r>
      </text>
    </comment>
    <comment ref="AA248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  <comment ref="AF248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Just stated for overall district council audits, not for individual WWTPs</t>
        </r>
      </text>
    </comment>
    <comment ref="F249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Prpobably should be 1732000</t>
        </r>
      </text>
    </comment>
    <comment ref="AA249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  <comment ref="AA250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  <comment ref="E251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They gave this as 7058500 in 2015-16 data, but that is most likely wrong</t>
        </r>
      </text>
    </comment>
    <comment ref="AA251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  <comment ref="AA252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  <comment ref="AA253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  <comment ref="E25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5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AA254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  <comment ref="AA255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  <comment ref="AA256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</commentList>
</comments>
</file>

<file path=xl/comments2.xml><?xml version="1.0" encoding="utf-8"?>
<comments xmlns="http://schemas.openxmlformats.org/spreadsheetml/2006/main">
  <authors>
    <author>Projects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Just states overall, not for individual plants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Just states overall, not for individual plants</t>
        </r>
      </text>
    </comment>
  </commentList>
</comments>
</file>

<file path=xl/sharedStrings.xml><?xml version="1.0" encoding="utf-8"?>
<sst xmlns="http://schemas.openxmlformats.org/spreadsheetml/2006/main" count="1818" uniqueCount="502">
  <si>
    <t>?</t>
  </si>
  <si>
    <t>WWA7d</t>
  </si>
  <si>
    <t>Volume of wastewater treated at Treatment Plant</t>
  </si>
  <si>
    <t>WWA7e</t>
  </si>
  <si>
    <t>Receiving environment for treatment plant effluent</t>
  </si>
  <si>
    <t>Freshwater</t>
  </si>
  <si>
    <t>Land application</t>
  </si>
  <si>
    <t>WWA7f</t>
  </si>
  <si>
    <t xml:space="preserve">Proportion of Trade Waste </t>
  </si>
  <si>
    <t>Estimated proportion of total wastewater entering the plant  that can be classified as trade waste</t>
  </si>
  <si>
    <t>WWA7g</t>
  </si>
  <si>
    <t>Treatment Plant Design Capacity</t>
  </si>
  <si>
    <t>Estimated combined annual flow capacity related to current design capacity of WWTP (without upgrading)</t>
  </si>
  <si>
    <t>WWA7h</t>
  </si>
  <si>
    <t>Treatment Plant Resource consents expiry date</t>
  </si>
  <si>
    <t>Discharge to air</t>
  </si>
  <si>
    <t>Discharge of effluent</t>
  </si>
  <si>
    <t>WWA7i</t>
  </si>
  <si>
    <t>Treatment Plant Sludge Production</t>
  </si>
  <si>
    <t>WWA7j</t>
  </si>
  <si>
    <t>Treatment Plant Sludge Disposal</t>
  </si>
  <si>
    <t>Disposal of wastewater sludge in year to:</t>
  </si>
  <si>
    <t>on site stockpile</t>
  </si>
  <si>
    <t>landfill</t>
  </si>
  <si>
    <t>composting and reuse</t>
  </si>
  <si>
    <t>other (specify)</t>
  </si>
  <si>
    <t>WWA7a</t>
  </si>
  <si>
    <t>Treatment Plant name</t>
  </si>
  <si>
    <t>WWA7b</t>
  </si>
  <si>
    <t>Treatment Plant Location</t>
  </si>
  <si>
    <t>WWA7c</t>
  </si>
  <si>
    <t>Treatment Plant Level of treatment</t>
  </si>
  <si>
    <t>Council</t>
  </si>
  <si>
    <t>Waihi Beach</t>
  </si>
  <si>
    <t>Katikati</t>
  </si>
  <si>
    <t>Te Puke</t>
  </si>
  <si>
    <t>Maketu</t>
  </si>
  <si>
    <t>Tertiary</t>
  </si>
  <si>
    <t>unknown</t>
  </si>
  <si>
    <t>N/A</t>
  </si>
  <si>
    <t>Applied to Land</t>
  </si>
  <si>
    <t>Stored onsite</t>
  </si>
  <si>
    <t>Vermicomposting</t>
  </si>
  <si>
    <t>Western Bay of Plenty District Council</t>
  </si>
  <si>
    <t>Matangi WWTP</t>
  </si>
  <si>
    <t>Raglan WWTP</t>
  </si>
  <si>
    <t>Tauwhare WWTP</t>
  </si>
  <si>
    <t>Te Kauwhata WWTP</t>
  </si>
  <si>
    <t>Te Kowhai WWTP</t>
  </si>
  <si>
    <t>Huntly WWTP</t>
  </si>
  <si>
    <t>Maramarua WWTP</t>
  </si>
  <si>
    <t>Meremere WWTP</t>
  </si>
  <si>
    <t>Ngaruawahia WWTP</t>
  </si>
  <si>
    <t>Primary</t>
  </si>
  <si>
    <t>Secondary</t>
  </si>
  <si>
    <t> 14/2/2020</t>
  </si>
  <si>
    <t> 30/6/2023</t>
  </si>
  <si>
    <t> 31/3/2029</t>
  </si>
  <si>
    <t> 5/8/2018</t>
  </si>
  <si>
    <t> 30/9/2021</t>
  </si>
  <si>
    <t> 31/8/2035</t>
  </si>
  <si>
    <t> 30/8/2018</t>
  </si>
  <si>
    <t> 15/12/2039</t>
  </si>
  <si>
    <t> 100 % To Huntly WWTP septage reception</t>
  </si>
  <si>
    <t>Waikato District Council</t>
  </si>
  <si>
    <t>Industrial</t>
  </si>
  <si>
    <t>Domestic</t>
  </si>
  <si>
    <t>NA</t>
  </si>
  <si>
    <t>Collingwood</t>
  </si>
  <si>
    <t>Motueka</t>
  </si>
  <si>
    <t>Murchison</t>
  </si>
  <si>
    <t>St Arnaud</t>
  </si>
  <si>
    <t>Takaka</t>
  </si>
  <si>
    <t>Tapawera</t>
  </si>
  <si>
    <t>Upper Takaka</t>
  </si>
  <si>
    <t>2/02/2018 &amp; 15/10/2035</t>
  </si>
  <si>
    <t>4/07/2038 &amp; 6/12/2042</t>
  </si>
  <si>
    <t>Tasman District Council</t>
  </si>
  <si>
    <t>Whitianga</t>
  </si>
  <si>
    <t>Whangamata</t>
  </si>
  <si>
    <t>Pauanui</t>
  </si>
  <si>
    <t>Coromandel</t>
  </si>
  <si>
    <t>Hahei</t>
  </si>
  <si>
    <t>Thames</t>
  </si>
  <si>
    <t>Oamaru Bay</t>
  </si>
  <si>
    <t>Matarangi</t>
  </si>
  <si>
    <t>Cooks Beach</t>
  </si>
  <si>
    <t>Onemana</t>
  </si>
  <si>
    <t>Thames Corromandel</t>
  </si>
  <si>
    <t>Chapel Street</t>
  </si>
  <si>
    <t>Te Maunga</t>
  </si>
  <si>
    <t>Tauranga City Council</t>
  </si>
  <si>
    <t>Taupo</t>
  </si>
  <si>
    <t>Turangi</t>
  </si>
  <si>
    <t xml:space="preserve">Acacia Bay </t>
  </si>
  <si>
    <t xml:space="preserve">Kinloch </t>
  </si>
  <si>
    <t>Mangakino</t>
  </si>
  <si>
    <t>Atiamuri</t>
  </si>
  <si>
    <t xml:space="preserve">Waitahanui </t>
  </si>
  <si>
    <t>Omori</t>
  </si>
  <si>
    <t xml:space="preserve">Motuoapa </t>
  </si>
  <si>
    <t>Whareroa</t>
  </si>
  <si>
    <t>Motutere (Camp Ground)</t>
  </si>
  <si>
    <t>Whakamaru</t>
  </si>
  <si>
    <t>31/12/2032
31/08/2018</t>
  </si>
  <si>
    <t>Tokoroa</t>
  </si>
  <si>
    <t>Putāruru</t>
  </si>
  <si>
    <t>Tīrau</t>
  </si>
  <si>
    <t>Arapuni</t>
  </si>
  <si>
    <t>Eltham</t>
  </si>
  <si>
    <t>Hawera</t>
  </si>
  <si>
    <t>Kaponga</t>
  </si>
  <si>
    <t>Manaia</t>
  </si>
  <si>
    <t>Patea</t>
  </si>
  <si>
    <t>Waverley</t>
  </si>
  <si>
    <t>Opunake</t>
  </si>
  <si>
    <t>Arthurs Pass (STP) Sunshine Tce</t>
  </si>
  <si>
    <t>Castle Hill (STP)</t>
  </si>
  <si>
    <t>Claremont (STP) Avonie Pl</t>
  </si>
  <si>
    <t>ESSS (STP) Pines</t>
  </si>
  <si>
    <t>Lake Coleridge (STP)</t>
  </si>
  <si>
    <t>Ellesmere (STP) Leeston</t>
  </si>
  <si>
    <t>Upper Selwyn Huts (STP)</t>
  </si>
  <si>
    <t xml:space="preserve">Hikumutu </t>
  </si>
  <si>
    <t>National Park</t>
  </si>
  <si>
    <t>Ohakune</t>
  </si>
  <si>
    <t>Rangataua</t>
  </si>
  <si>
    <t>Raetihi</t>
  </si>
  <si>
    <t>Pipiriki</t>
  </si>
  <si>
    <t>n/a</t>
  </si>
  <si>
    <t>Ruapehu</t>
  </si>
  <si>
    <t>Rotorua Wastewater Treatment Plant</t>
  </si>
  <si>
    <t>Totara Road WWTP</t>
  </si>
  <si>
    <t>Bunnythorpe Oxidation Pond</t>
  </si>
  <si>
    <t>Not applicable</t>
  </si>
  <si>
    <t>Will be pumped to Totara Road in 2016</t>
  </si>
  <si>
    <t>Palmerston North</t>
  </si>
  <si>
    <t>New Plymouth Wastewater Treatment Plant</t>
  </si>
  <si>
    <t>New Plymouth</t>
  </si>
  <si>
    <t>Blenheim</t>
  </si>
  <si>
    <t>Picton</t>
  </si>
  <si>
    <t>Seddon</t>
  </si>
  <si>
    <t>Havelock</t>
  </si>
  <si>
    <t>2029  land/sea</t>
  </si>
  <si>
    <t>Fairlie</t>
  </si>
  <si>
    <t>Burkes Pass</t>
  </si>
  <si>
    <t>Tekapo</t>
  </si>
  <si>
    <t>Twizel</t>
  </si>
  <si>
    <t>Paraparaumu</t>
  </si>
  <si>
    <t>Otaki</t>
  </si>
  <si>
    <t>Dargaville WWTP</t>
  </si>
  <si>
    <t>Clifton Wastewater Treatment Plant</t>
  </si>
  <si>
    <t>Bluff Wastewater Treatment Plant</t>
  </si>
  <si>
    <t>Omaui</t>
  </si>
  <si>
    <t>Levin WWTP  Data</t>
  </si>
  <si>
    <t xml:space="preserve">Foxton WWTP </t>
  </si>
  <si>
    <t xml:space="preserve">Foxton Beach WWTP </t>
  </si>
  <si>
    <t xml:space="preserve">Shannon WWTP </t>
  </si>
  <si>
    <t xml:space="preserve">Tokomaru WWTP </t>
  </si>
  <si>
    <t xml:space="preserve">Waitarere WWTP </t>
  </si>
  <si>
    <t xml:space="preserve">Secondary </t>
  </si>
  <si>
    <t xml:space="preserve">Primary </t>
  </si>
  <si>
    <t>107153 &amp; 107154: 1/07/2034  103285: 23/05/2020</t>
  </si>
  <si>
    <t xml:space="preserve">N/A </t>
  </si>
  <si>
    <t>105844: 1/07/2016</t>
  </si>
  <si>
    <t>105897:11/07/2034   106894: 1/07/2048</t>
  </si>
  <si>
    <t xml:space="preserve">6610: 31/12/2018                      107153 &amp; 107154: 1/07/2034 </t>
  </si>
  <si>
    <t>103925 &amp; 103296: 1/12/2014</t>
  </si>
  <si>
    <t>102449: 11/03/2048</t>
  </si>
  <si>
    <t>101227 &amp; 101228: 24/01/2017</t>
  </si>
  <si>
    <t>102220: 27/06/2007</t>
  </si>
  <si>
    <t>Pukete Wastewater Treatment Plant</t>
  </si>
  <si>
    <t>Hamilton City Council</t>
  </si>
  <si>
    <t>Paeroa WWTP</t>
  </si>
  <si>
    <t>Waihi WWTP</t>
  </si>
  <si>
    <t>Whiritoa WWTP</t>
  </si>
  <si>
    <t>Ngatea WWTP</t>
  </si>
  <si>
    <t>Kerepehi WWTP</t>
  </si>
  <si>
    <t>Turua WWTP</t>
  </si>
  <si>
    <t>Waitakaruru WWTP</t>
  </si>
  <si>
    <t>Hauraki District Council</t>
  </si>
  <si>
    <t>Gore WWTP</t>
  </si>
  <si>
    <t>Mataura WWTP</t>
  </si>
  <si>
    <t>Waikaka WWTP</t>
  </si>
  <si>
    <t>Gore District Council</t>
  </si>
  <si>
    <t>Tahuna</t>
  </si>
  <si>
    <t>Green Island</t>
  </si>
  <si>
    <t>Mosgiel</t>
  </si>
  <si>
    <t>Waikouaiti</t>
  </si>
  <si>
    <t>Warrington</t>
  </si>
  <si>
    <t>Seacliff</t>
  </si>
  <si>
    <t>Middlemarch</t>
  </si>
  <si>
    <t>Dunedin City Council</t>
  </si>
  <si>
    <t>Alexandra</t>
  </si>
  <si>
    <t>Cromwell</t>
  </si>
  <si>
    <t>Omakau</t>
  </si>
  <si>
    <t>Ranfurly</t>
  </si>
  <si>
    <t>Naseby</t>
  </si>
  <si>
    <t>Roxburgh</t>
  </si>
  <si>
    <t>Balclutha</t>
  </si>
  <si>
    <t>Clinton</t>
  </si>
  <si>
    <t>Heriot</t>
  </si>
  <si>
    <t>Kaitangata</t>
  </si>
  <si>
    <t>Kaka Point</t>
  </si>
  <si>
    <t>Lawrence</t>
  </si>
  <si>
    <t>Milton</t>
  </si>
  <si>
    <t>Owaka</t>
  </si>
  <si>
    <t>Stirling</t>
  </si>
  <si>
    <t>Tapanui</t>
  </si>
  <si>
    <t>Waihola</t>
  </si>
  <si>
    <t>Clutha District Council</t>
  </si>
  <si>
    <t>Christchurch</t>
  </si>
  <si>
    <t>Lyttelton</t>
  </si>
  <si>
    <t>Diamond Harbour</t>
  </si>
  <si>
    <t>Governors Bay</t>
  </si>
  <si>
    <t>Akaroa</t>
  </si>
  <si>
    <t>Duvauchelle</t>
  </si>
  <si>
    <t>Wainui</t>
  </si>
  <si>
    <t>Tikao Bay</t>
  </si>
  <si>
    <t>All to CWTP</t>
  </si>
  <si>
    <t>Christchurch City Council</t>
  </si>
  <si>
    <t>Ashburton (over 2 sites)</t>
  </si>
  <si>
    <t>Methven</t>
  </si>
  <si>
    <t>Rakaia</t>
  </si>
  <si>
    <t>Ashburton District Council</t>
  </si>
  <si>
    <t>Whakatāne</t>
  </si>
  <si>
    <t>Ōhope</t>
  </si>
  <si>
    <t>Edgecumbe</t>
  </si>
  <si>
    <t>Murupara</t>
  </si>
  <si>
    <t>Tāneatua</t>
  </si>
  <si>
    <t>Te Mahoe</t>
  </si>
  <si>
    <t>Whakatāne District Council</t>
  </si>
  <si>
    <t>Te Awamutu WWTP</t>
  </si>
  <si>
    <t>Cambridge WWTP</t>
  </si>
  <si>
    <t>Waipa District Council</t>
  </si>
  <si>
    <t>Porirua Wastewater Treatment Plant</t>
  </si>
  <si>
    <t>Porirua City Council</t>
  </si>
  <si>
    <t>Wairoa</t>
  </si>
  <si>
    <t>Tuai</t>
  </si>
  <si>
    <t>Wairoa District Council</t>
  </si>
  <si>
    <t>Eastern Districts</t>
  </si>
  <si>
    <t>Oxford</t>
  </si>
  <si>
    <t>Fernside</t>
  </si>
  <si>
    <t>Loburn Lea</t>
  </si>
  <si>
    <t>Various</t>
  </si>
  <si>
    <t>-</t>
  </si>
  <si>
    <t>Hokitika</t>
  </si>
  <si>
    <t>Franz</t>
  </si>
  <si>
    <t>Fox</t>
  </si>
  <si>
    <t>Haast</t>
  </si>
  <si>
    <t>Westland District Council</t>
  </si>
  <si>
    <t>Seaview</t>
  </si>
  <si>
    <t>Hutt City Council</t>
  </si>
  <si>
    <t xml:space="preserve">Whangarei </t>
  </si>
  <si>
    <t>Ruakaka</t>
  </si>
  <si>
    <t>Waipu</t>
  </si>
  <si>
    <t>Hikurangi</t>
  </si>
  <si>
    <t>Ngunguru</t>
  </si>
  <si>
    <t xml:space="preserve">Portland </t>
  </si>
  <si>
    <t>Tutukaka</t>
  </si>
  <si>
    <t>Oakura</t>
  </si>
  <si>
    <t>Waiotira</t>
  </si>
  <si>
    <t>Whangarei District Council</t>
  </si>
  <si>
    <t>Omaha</t>
  </si>
  <si>
    <t>31/12/2021.</t>
  </si>
  <si>
    <t>31/12/2030.</t>
  </si>
  <si>
    <t>31/12/2011.</t>
  </si>
  <si>
    <t>31/05/2015.</t>
  </si>
  <si>
    <t>1/07/2027.</t>
  </si>
  <si>
    <t>31/12/2032.</t>
  </si>
  <si>
    <t>31/12/2026.</t>
  </si>
  <si>
    <t>18/06/2019.</t>
  </si>
  <si>
    <t>31/12/2019.</t>
  </si>
  <si>
    <t>31/12/2042.</t>
  </si>
  <si>
    <t>01/01/2032.</t>
  </si>
  <si>
    <t>1/07/2020.</t>
  </si>
  <si>
    <t>31/12/2000.</t>
  </si>
  <si>
    <t>31/12/2015.</t>
  </si>
  <si>
    <t>31/12/1999.</t>
  </si>
  <si>
    <t>30/06/2015.</t>
  </si>
  <si>
    <t>31/12/2025.</t>
  </si>
  <si>
    <t>1/04/2100.</t>
  </si>
  <si>
    <t>31/12/2027.</t>
  </si>
  <si>
    <t>31/12/2022.</t>
  </si>
  <si>
    <t>30/09/2029.</t>
  </si>
  <si>
    <t>returned to pond 1</t>
  </si>
  <si>
    <t>off site by contracto</t>
  </si>
  <si>
    <t>Pukekohe WWTP</t>
  </si>
  <si>
    <t>Mangere WWTP</t>
  </si>
  <si>
    <t>Watercare</t>
  </si>
  <si>
    <t>Army Bay (Whangaparaoa Peninsula)</t>
  </si>
  <si>
    <t>Rosedale (Albany, North Shore)</t>
  </si>
  <si>
    <t>Warkworth (Alnwick Street)</t>
  </si>
  <si>
    <t>Snells/Algies (Hamatana Rd, Snells Beach)</t>
  </si>
  <si>
    <t>Waiwera (Weranui Rd)</t>
  </si>
  <si>
    <t>Denehurst (Denehurst Drive, Waimauku)</t>
  </si>
  <si>
    <t>Helensville (Mount Rex, Helensville)</t>
  </si>
  <si>
    <t>Wellsford (1.8km south of Wellsford)</t>
  </si>
  <si>
    <t>Mangere (Island Road)</t>
  </si>
  <si>
    <t>Pukekohe (Friedlander Road)</t>
  </si>
  <si>
    <t>Waiuku (Williams Road)</t>
  </si>
  <si>
    <t>Clarks Beach (Stella Drive)</t>
  </si>
  <si>
    <t>Owhanake (Ocean View road, Waiheke Island)</t>
  </si>
  <si>
    <t>Kingseat (Buchanan Road)</t>
  </si>
  <si>
    <t>Bombay (Barber Road)</t>
  </si>
  <si>
    <t>Kawakawaa Bay (Orere Road)</t>
  </si>
  <si>
    <t>Moa Point</t>
  </si>
  <si>
    <t>Western</t>
  </si>
  <si>
    <t>Wellington City Council</t>
  </si>
  <si>
    <t>Northing</t>
  </si>
  <si>
    <t>Easting</t>
  </si>
  <si>
    <t>Freshwater volume</t>
  </si>
  <si>
    <t>Land application volume</t>
  </si>
  <si>
    <t>Idiot check</t>
  </si>
  <si>
    <t>Year of expiry</t>
  </si>
  <si>
    <t>Council type</t>
  </si>
  <si>
    <t>Discharge of sludge</t>
  </si>
  <si>
    <t>Location data source (if different to 2014-15 NPR)</t>
  </si>
  <si>
    <t>WWTP Inventory 2012 data</t>
  </si>
  <si>
    <t>Beachlands (Okaroro Road)</t>
  </si>
  <si>
    <t>Google Earth Street View</t>
  </si>
  <si>
    <t>Buller District Council</t>
  </si>
  <si>
    <t>Little Wanganui</t>
  </si>
  <si>
    <t>Reefton</t>
  </si>
  <si>
    <t>Westport</t>
  </si>
  <si>
    <t>Nelson City Council</t>
  </si>
  <si>
    <t>Bells Island</t>
  </si>
  <si>
    <t>Nelson North</t>
  </si>
  <si>
    <t>South Wairarapa District Council</t>
  </si>
  <si>
    <t>Greytown WWTP</t>
  </si>
  <si>
    <t>Just granted, over 30years change to 100% land discharge</t>
  </si>
  <si>
    <t>Featherston WWTP</t>
  </si>
  <si>
    <t>In RC process, over 30 years change to 100% land discharge</t>
  </si>
  <si>
    <t>Martinborough WWTP</t>
  </si>
  <si>
    <t>Lake Ferry WWTP</t>
  </si>
  <si>
    <t>Balfour</t>
  </si>
  <si>
    <t>Browns</t>
  </si>
  <si>
    <t>Lumsden</t>
  </si>
  <si>
    <t>Manapouri</t>
  </si>
  <si>
    <t>Nightcaps</t>
  </si>
  <si>
    <t>Ohai</t>
  </si>
  <si>
    <t>Otautau</t>
  </si>
  <si>
    <t>Riversdale</t>
  </si>
  <si>
    <t>Riverton(Rocks)</t>
  </si>
  <si>
    <t>Te Anau</t>
  </si>
  <si>
    <t>Tokanui</t>
  </si>
  <si>
    <t>Winton</t>
  </si>
  <si>
    <t>Oban</t>
  </si>
  <si>
    <t>Riverton(Townside)</t>
  </si>
  <si>
    <t>Wallacetown</t>
  </si>
  <si>
    <t>Gorge Road</t>
  </si>
  <si>
    <t>Tuatapere</t>
  </si>
  <si>
    <t>Edendale Wyndham</t>
  </si>
  <si>
    <t>Stratford District Council</t>
  </si>
  <si>
    <t>Southland District Council</t>
  </si>
  <si>
    <t>Oxidation ponds</t>
  </si>
  <si>
    <t>NA (see comment)</t>
  </si>
  <si>
    <t>4800m3 in 2006-07</t>
  </si>
  <si>
    <t>4800 m3</t>
  </si>
  <si>
    <t>Far North District Council</t>
  </si>
  <si>
    <t>Ahipara</t>
  </si>
  <si>
    <t>secondary</t>
  </si>
  <si>
    <t>Left in ponds</t>
  </si>
  <si>
    <t>Hihi</t>
  </si>
  <si>
    <t>Kaeo</t>
  </si>
  <si>
    <t>tertiary</t>
  </si>
  <si>
    <t>Kaikohe</t>
  </si>
  <si>
    <t>Kaitaia</t>
  </si>
  <si>
    <t>Kawakawa</t>
  </si>
  <si>
    <t>Kerikeri</t>
  </si>
  <si>
    <t>Kohukohu</t>
  </si>
  <si>
    <t>Opononi</t>
  </si>
  <si>
    <t>Paihia</t>
  </si>
  <si>
    <t>Rangiputa</t>
  </si>
  <si>
    <t>Rawene</t>
  </si>
  <si>
    <t>Russell</t>
  </si>
  <si>
    <t>Whatuwhiwhi</t>
  </si>
  <si>
    <t>Simon Belworthy &lt;simon.belworthy@tcdc.govt.nz&gt;</t>
  </si>
  <si>
    <t>NPerrie (Neville) &lt;Neville.Perrie@water.co.nz&gt;</t>
  </si>
  <si>
    <t>Has application lodged for new consents, operateing under the previous consent conditions.-Ted Anderson &lt;Ted.Anderson@southwaikato.govt.nz&gt;</t>
  </si>
  <si>
    <t>Has application lodged for new consents, operateing under the previous consent conditions.-Howard Wilkinson &lt;howard.wilkinson@STDC.govt.nz&gt;</t>
  </si>
  <si>
    <t>Has application lodged for new consents, operateing under the previous consent conditions.-&lt;annemarie@ruapehudc.govt.nz&gt;</t>
  </si>
  <si>
    <t>Matamata-Piako District Council</t>
  </si>
  <si>
    <t>Local Authority</t>
  </si>
  <si>
    <t>Matamata</t>
  </si>
  <si>
    <t>Morrinsville</t>
  </si>
  <si>
    <t>Bioremedian-Pond C</t>
  </si>
  <si>
    <t>Te Aroha</t>
  </si>
  <si>
    <t xml:space="preserve"> (CBR) 839,500</t>
  </si>
  <si>
    <t>Bioremediation</t>
  </si>
  <si>
    <t>Disposed at Morrinsville</t>
  </si>
  <si>
    <t>Waihou</t>
  </si>
  <si>
    <t>Imagery manually checked and updated</t>
  </si>
  <si>
    <t>Direct information request</t>
  </si>
  <si>
    <t xml:space="preserve"> Rakaia is applied to pasture, but pasture is not harvested for reuse. </t>
  </si>
  <si>
    <t>Ashburton and Methven are not desludged, sludge is retained in oxidation ponds.</t>
  </si>
  <si>
    <t>Volume is estimate based on last year</t>
  </si>
  <si>
    <t>Different coordinate system given, used same location data from last year</t>
  </si>
  <si>
    <t>Different from last year</t>
  </si>
  <si>
    <t>Under application, subject to section….</t>
  </si>
  <si>
    <t>Sludge not measured as it is retained in pond systems</t>
  </si>
  <si>
    <t>Given decimal coordinates by them, so converted</t>
  </si>
  <si>
    <t>Application in process of being renewed</t>
  </si>
  <si>
    <t>Currently in process of being renewed</t>
  </si>
  <si>
    <t xml:space="preserve">106892: 20/03/2017         105896: 11/07/2034 106893: 01/07/2048       106895: 01/07/2048  </t>
  </si>
  <si>
    <t>2018 &amp; 2034</t>
  </si>
  <si>
    <t>2017 &amp; 2034 &amp; 2048</t>
  </si>
  <si>
    <t>Oxidation pond used</t>
  </si>
  <si>
    <t>Given different coordinates</t>
  </si>
  <si>
    <t>Discontinued beneficial use of sludge in February</t>
  </si>
  <si>
    <t>Land Application 8703.6 T @ 43%dry solids</t>
  </si>
  <si>
    <t>No desludging this year or last</t>
  </si>
  <si>
    <t>Has application lodged for new consents, operateing under the previous expiredconsent conditions.-Martyn Cole &lt;Martyn.Cole@kapiticoast.govt.nz&gt;</t>
  </si>
  <si>
    <t>Mentions stockpile and landfill but has no values. Sludge removal is reportedly very intermittent from the faculative treatment ponds and have cummulative quantity for at least last 10 years.</t>
  </si>
  <si>
    <t xml:space="preserve">(2015-16) Volume of wastewater treated at WWTPs </t>
  </si>
  <si>
    <t xml:space="preserve">(2014-15) Volume of wastewater treated at WWTPs </t>
  </si>
  <si>
    <t>(2015-16) Total quantity of sludge produced</t>
  </si>
  <si>
    <t>(2014-15) Total quantity of sludge produced</t>
  </si>
  <si>
    <t>Marine harbour</t>
  </si>
  <si>
    <t>Marine coastal</t>
  </si>
  <si>
    <t>Marine harbour volume</t>
  </si>
  <si>
    <t>Marine coastal volume</t>
  </si>
  <si>
    <t>Last year's numbers used</t>
  </si>
  <si>
    <t>No sludge was disposed of 2015-16</t>
  </si>
  <si>
    <t>Current</t>
  </si>
  <si>
    <t xml:space="preserve"> (goes to Bromley STP Chch</t>
  </si>
  <si>
    <t xml:space="preserve"> goes to Pines WWTP</t>
  </si>
  <si>
    <t xml:space="preserve"> Land remediation at Stockton Mine</t>
  </si>
  <si>
    <t>Wai-inu</t>
  </si>
  <si>
    <t>No sludge disposal in 2015-16</t>
  </si>
  <si>
    <t>No sludge disposal in 2015-17</t>
  </si>
  <si>
    <t>No sludge disposal in 2015-18</t>
  </si>
  <si>
    <t>No sludge disposal in 2015-19</t>
  </si>
  <si>
    <t>No sludge disposal in 2015-20</t>
  </si>
  <si>
    <t>No sludge disposal in 2015-21</t>
  </si>
  <si>
    <t>No sludge disposal in 2015-22</t>
  </si>
  <si>
    <t>Lodged</t>
  </si>
  <si>
    <t>Fully compliant</t>
  </si>
  <si>
    <t>No sludge removed from ponds</t>
  </si>
  <si>
    <t>Not included in Audit/data</t>
  </si>
  <si>
    <t>Stored on-site</t>
  </si>
  <si>
    <t>Not quantified</t>
  </si>
  <si>
    <t>Disposal method percentages are not calculated</t>
  </si>
  <si>
    <t>Given by NCC in NZTM</t>
  </si>
  <si>
    <t>In pond/septic tanks</t>
  </si>
  <si>
    <t>Stratford Wastewater Treatment Plant</t>
  </si>
  <si>
    <t>2006-2007 is the year they last desludged the ponds</t>
  </si>
  <si>
    <t>East Coast/Taipa</t>
  </si>
  <si>
    <t>Grey District Council</t>
  </si>
  <si>
    <t>Blackball</t>
  </si>
  <si>
    <t>Greymouth (Preston Rd &amp; Johnson St)</t>
  </si>
  <si>
    <t>Cobden</t>
  </si>
  <si>
    <t>Iveagh Bay</t>
  </si>
  <si>
    <t>Karoro/Paroa</t>
  </si>
  <si>
    <t>Moana</t>
  </si>
  <si>
    <t>Runanga</t>
  </si>
  <si>
    <t>Hastings Dstrict Council</t>
  </si>
  <si>
    <t>East Clive</t>
  </si>
  <si>
    <t>Kaikoura District Council</t>
  </si>
  <si>
    <t xml:space="preserve"> 'The Oxidation Ponds'</t>
  </si>
  <si>
    <t>Queenstown Lakes District Council</t>
  </si>
  <si>
    <t>Shotover</t>
  </si>
  <si>
    <t>Wanaka</t>
  </si>
  <si>
    <t>Hawea</t>
  </si>
  <si>
    <t>Cardrona</t>
  </si>
  <si>
    <t>Waimate District Council</t>
  </si>
  <si>
    <t>Waimate WWTP</t>
  </si>
  <si>
    <t>Seperated Trade Waste network. Trade Waste (primary) on-site treatment and Public Milliscreen. Domestic (secondary with BTF tank)</t>
  </si>
  <si>
    <t>Given coordinates (no 2014-15 data)</t>
  </si>
  <si>
    <t>260 O31  710</t>
  </si>
  <si>
    <t>260 O31  866</t>
  </si>
  <si>
    <t>TBC</t>
  </si>
  <si>
    <t>2017/2022</t>
  </si>
  <si>
    <t>No sludge removed from ponds in 2015-16</t>
  </si>
  <si>
    <t>2014-15</t>
  </si>
  <si>
    <t>Data Recency</t>
  </si>
  <si>
    <t>2015-16</t>
  </si>
  <si>
    <t>TOTALS:</t>
  </si>
  <si>
    <t>AVERAGES</t>
  </si>
  <si>
    <t>NZGD2000 from P:\WATER NEW ZEALAND\PRO - PROJECTS\WWINV-WWTP INVENTORY\PRO-WIN-1\3. Individual spreadsheets\121207 Queenstown - Lakes WWTPs.xlsx</t>
  </si>
  <si>
    <t>NZGD2000 from P:\WATER NEW ZEALAND\PRO - PROJECTS\WWINV-WWTP INVENTORY\PRO-WIN-1\3. Individual spreadsheets\121206 Grey WWTPs.xlsx</t>
  </si>
  <si>
    <t>NZTM</t>
  </si>
  <si>
    <t>Proportions</t>
  </si>
  <si>
    <t>Individual amounts (using wastewater proportion estimates)</t>
  </si>
  <si>
    <t>Doesn't state this year whether sludge disposed to CWTP, but assummed it is</t>
  </si>
  <si>
    <t>Couldn't be located and did not have much information, so is NOT included in the arcgis and .kml fuiles</t>
  </si>
  <si>
    <t>Unitary Authority</t>
  </si>
  <si>
    <t>Taupo District Council</t>
  </si>
  <si>
    <t>Timaru District Council</t>
  </si>
  <si>
    <t>Waimakariri District Council</t>
  </si>
  <si>
    <t>South Waikato District Council</t>
  </si>
  <si>
    <t>South Taranaki District Council</t>
  </si>
  <si>
    <t>Selwyn District Council</t>
  </si>
  <si>
    <t>Ruapehu District Council</t>
  </si>
  <si>
    <t>Rotorua District Council</t>
  </si>
  <si>
    <t>Marlborough District Council</t>
  </si>
  <si>
    <t>Mackenzie District Council</t>
  </si>
  <si>
    <t>Kaipara District Council</t>
  </si>
  <si>
    <t>Kapiti District Council</t>
  </si>
  <si>
    <t>Invercargill City Council</t>
  </si>
  <si>
    <t>Horowhenua District Council</t>
  </si>
  <si>
    <t>Central Otago District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</si>
</sst>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#,###;[Red]\(#,###\)"/>
    <numFmt numFmtId="168" formatCode="#,##0_);[Red]\(#,##0\)"/>
    <numFmt numFmtId="169" formatCode="_-\ &quot;$&quot;#,##0_-&quot;/day&quot;_-;_-\ \-&quot;$&quot;#,##0_-&quot;/day&quot;_-;_-\ &quot;$&quot;0_-&quot;/day&quot;_-;_-@_-"/>
    <numFmt numFmtId="170" formatCode="_-\ &quot;$&quot;#,##0_-&quot;/h&quot;_-;_-\ \-&quot;$&quot;#,##0_-&quot;/h&quot;_-;_-\ &quot;$&quot;0_-&quot;/h&quot;_-;_-@_-"/>
    <numFmt numFmtId="171" formatCode="_-\ &quot;$&quot;#,##0_-&quot;/m&quot;_-;_-\ \-&quot;$&quot;#,##0_-&quot;/m&quot;_-;_-\ &quot;$&quot;0_-&quot;/m&quot;_-;_-@_-"/>
    <numFmt numFmtId="172" formatCode="dd/mm/yyyy\ hh:mm:ss.000"/>
    <numFmt numFmtId="173" formatCode="_-\ #,##0_-&quot;day(s)&quot;_-;_-\ \-#,##0_-&quot;day(s)&quot;_-;_-\ 0_-&quot;day(s)&quot;_-;_-@_-"/>
    <numFmt numFmtId="174" formatCode="_-\ #,##0_-&quot;GL&quot;_-;_-\ \-#,##0_-&quot;GL&quot;_-;_-\ 0_-&quot;GL&quot;_-;_-@_-"/>
    <numFmt numFmtId="175" formatCode="_-\ #,##0_-&quot;GL/y&quot;_-;_-\ \-#,##0_-&quot;GL/y&quot;_-;_-\ 0_-&quot;GL/y&quot;_-;_-@_-"/>
    <numFmt numFmtId="176" formatCode="_-\ #,##0_-&quot;hrs&quot;_-;_-\ \-#,##0_-&quot;hrs&quot;_-;_-\ 0_-&quot;hrs&quot;_-;_-@_-"/>
    <numFmt numFmtId="177" formatCode="_-\ #,##0_-&quot;kg&quot;_-;_-\ \-#,##0_-&quot;kg&quot;_-;_-\ 0_-&quot;kg&quot;_-;_-@_-"/>
    <numFmt numFmtId="178" formatCode="_-\ #,##0_-&quot;kL&quot;_-;_-\ \-#,##0_-&quot;kL&quot;_-;_-\ 0_-&quot;kL&quot;_-;_-@_-"/>
    <numFmt numFmtId="179" formatCode="_-\ #,##0_-&quot;kL/h&quot;_-;_-\ \-#,##0_-&quot;kL/h&quot;_-;_-\ 0_-&quot;kL/h&quot;_-;_-@_-"/>
    <numFmt numFmtId="180" formatCode="_-\ #,##0_-&quot;kL/ser/d&quot;_-;_-\ \-#,##0_-&quot;kL/ser/d&quot;_-;_-\ 0_-&quot;kL/ser/d&quot;_-;_-@_-"/>
    <numFmt numFmtId="181" formatCode="_-\ #,##0_-&quot;km&quot;_-;_-\ \-#,##0_-&quot;km&quot;_-;_-\ 0_-&quot;km&quot;_-;_-@_-"/>
    <numFmt numFmtId="182" formatCode="_-\ #,##0_-&quot;kPa&quot;_-;_-\ \-#,##0_-&quot;kPa&quot;_-;_-\ 0_-&quot;kPa&quot;_-;_-@_-"/>
    <numFmt numFmtId="183" formatCode="_-\ #,##0_-&quot;kW&quot;_-;_-\ \-#,##0_-&quot;kW&quot;_-;_-\ 0_-&quot;kW&quot;_-;_-@_-"/>
    <numFmt numFmtId="184" formatCode="_-\ #,##0_-&quot;kWh&quot;_-;_-\ \-#,##0_-&quot;kWh&quot;_-;_-\ 0_-&quot;kWh&quot;_-;_-@_-"/>
    <numFmt numFmtId="185" formatCode="_-\ #,##0_-&quot;L&quot;_-;_-\ \-#,##0_-&quot;L&quot;_-;_-\ 0_-&quot;L&quot;_-;_-@_-"/>
    <numFmt numFmtId="186" formatCode="_-\ #,##0_-&quot;L/min&quot;_-;_-\ \-#,##0_-&quot;L/min&quot;_-;_-\ 0_-&quot;L/min&quot;_-;_-@_-"/>
    <numFmt numFmtId="187" formatCode="_-\ #,##0_-&quot;L/s&quot;_-;_-\ \-#,##0_-&quot;L/s&quot;_-;_-\ 0_-&quot;L/s&quot;_-;_-@_-"/>
    <numFmt numFmtId="188" formatCode="_-\ #,##0_-&quot;m&quot;_-;_-\ \-#,##0_-&quot;m&quot;_-;_-\ 0_-&quot;m&quot;_-;_-@_-"/>
    <numFmt numFmtId="189" formatCode="_-\ #,##0_-&quot;m/km&quot;_-;_-\ \-#,##0_-&quot;m/km&quot;_-;_-\ 0_-&quot;m/km&quot;_-;_-@_-"/>
    <numFmt numFmtId="190" formatCode="_-\ #,##0_-&quot;m/s&quot;_-;_-\ \-#,##0_-&quot;m/s&quot;_-;_-\ 0_-&quot;m/s&quot;_-;_-@_-"/>
    <numFmt numFmtId="191" formatCode="_-\ #,##0_-&quot;mAHD&quot;_-;_-\ \-#,##0_-&quot;mAHD&quot;_-;_-\ 0_-&quot;mAHD&quot;_-;_-@_-"/>
    <numFmt numFmtId="192" formatCode="_-\ #,##0_-&quot;MJ&quot;_-;_-\ \-#,##0_-&quot;MJ&quot;_-;_-\ 0_-&quot;MJ&quot;_-;_-@_-"/>
    <numFmt numFmtId="193" formatCode="_-\ #,##0_-&quot;ML&quot;_-;_-\ \-#,##0_-&quot;ML&quot;_-;_-\ 0_-&quot;ML&quot;_-;_-@_-"/>
    <numFmt numFmtId="194" formatCode="_-\ #,##0_-&quot;ML/d&quot;_-;_-\ \-#,##0_-&quot;ML/d&quot;_-;_-\ 0_-&quot;ML/d&quot;_-;_-@_-"/>
    <numFmt numFmtId="195" formatCode="_-\ #,##0_-&quot;mm&quot;_-;_-\ \-#,##0_-&quot;mm&quot;_-;_-\ 0_-&quot;mm&quot;_-;_-@_-"/>
    <numFmt numFmtId="196" formatCode="_-\ #,##0_-&quot;mNCD&quot;_-;_-\ \-#,##0_-&quot;mNCD&quot;_-;_-\ 0_-&quot;mNCD&quot;_-;_-@_-"/>
    <numFmt numFmtId="197" formatCode="_-\ ###0_-&quot;rpm&quot;_-;_-\ \-###0_-&quot;rpm&quot;_-;_-\ 0_-&quot;rpm&quot;_-;_-@_-"/>
    <numFmt numFmtId="198" formatCode="#,##0_ ;[Red]\-#,##0\ "/>
  </numFmts>
  <fonts count="10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name val="Times New Roman"/>
      <family val="1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i/>
      <u/>
      <sz val="10"/>
      <name val="Tms Rmn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0"/>
      <color rgb="FF3F3F3F"/>
      <name val="Arial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vertAlign val="superscript"/>
      <sz val="14"/>
      <name val="Tahoma"/>
      <family val="2"/>
    </font>
    <font>
      <sz val="9"/>
      <name val="Tahoma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ms Rmn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sz val="10"/>
      <name val="Century Schoolbook"/>
      <family val="1"/>
    </font>
    <font>
      <b/>
      <sz val="1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u/>
      <sz val="12"/>
      <name val="Arial"/>
      <family val="2"/>
    </font>
    <font>
      <b/>
      <u/>
      <sz val="10"/>
      <color indexed="12"/>
      <name val="Arial"/>
      <family val="2"/>
    </font>
    <font>
      <i/>
      <u/>
      <sz val="10"/>
      <name val="Arial"/>
      <family val="2"/>
    </font>
    <font>
      <b/>
      <sz val="10"/>
      <color indexed="60"/>
      <name val="Arial"/>
      <family val="2"/>
    </font>
    <font>
      <i/>
      <sz val="10"/>
      <name val="Comic Sans MS"/>
      <family val="4"/>
    </font>
    <font>
      <i/>
      <sz val="8"/>
      <name val="Arial"/>
      <family val="2"/>
    </font>
    <font>
      <b/>
      <sz val="10"/>
      <name val="Comic Sans MS"/>
      <family val="4"/>
    </font>
    <font>
      <b/>
      <u val="doubleAccounting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0"/>
      <color theme="1"/>
      <name val="Arial Narrow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1"/>
      <color rgb="FF9C0006"/>
      <name val="Arial"/>
      <family val="2"/>
    </font>
    <font>
      <sz val="10"/>
      <name val="Verdana"/>
      <family val="2"/>
    </font>
    <font>
      <sz val="10"/>
      <name val="Inherit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04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1" applyNumberFormat="0" applyAlignment="0" applyProtection="0"/>
    <xf numFmtId="0" fontId="15" fillId="6" borderId="12" applyNumberFormat="0" applyAlignment="0" applyProtection="0"/>
    <xf numFmtId="0" fontId="16" fillId="6" borderId="11" applyNumberFormat="0" applyAlignment="0" applyProtection="0"/>
    <xf numFmtId="0" fontId="17" fillId="0" borderId="13" applyNumberFormat="0" applyFill="0" applyAlignment="0" applyProtection="0"/>
    <xf numFmtId="0" fontId="18" fillId="7" borderId="14" applyNumberFormat="0" applyAlignment="0" applyProtection="0"/>
    <xf numFmtId="0" fontId="2" fillId="0" borderId="0" applyNumberFormat="0" applyFill="0" applyBorder="0" applyAlignment="0" applyProtection="0"/>
    <xf numFmtId="0" fontId="6" fillId="8" borderId="15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2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0" fillId="32" borderId="0" applyNumberFormat="0" applyBorder="0" applyAlignment="0" applyProtection="0"/>
    <xf numFmtId="0" fontId="24" fillId="0" borderId="0"/>
    <xf numFmtId="0" fontId="6" fillId="0" borderId="0"/>
    <xf numFmtId="43" fontId="25" fillId="0" borderId="0" applyFont="0" applyFill="0" applyBorder="0" applyAlignment="0" applyProtection="0"/>
    <xf numFmtId="0" fontId="24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12" fillId="3" borderId="0" applyNumberFormat="0" applyBorder="0" applyAlignment="0" applyProtection="0"/>
    <xf numFmtId="0" fontId="29" fillId="3" borderId="0" applyNumberFormat="0" applyBorder="0" applyAlignment="0" applyProtection="0"/>
    <xf numFmtId="0" fontId="16" fillId="6" borderId="11" applyNumberFormat="0" applyAlignment="0" applyProtection="0"/>
    <xf numFmtId="0" fontId="30" fillId="6" borderId="11" applyNumberFormat="0" applyAlignment="0" applyProtection="0"/>
    <xf numFmtId="0" fontId="31" fillId="7" borderId="14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4" fillId="2" borderId="0" applyNumberFormat="0" applyBorder="0" applyAlignment="0" applyProtection="0"/>
    <xf numFmtId="0" fontId="35" fillId="0" borderId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36" fillId="5" borderId="11" applyNumberFormat="0" applyAlignment="0" applyProtection="0"/>
    <xf numFmtId="0" fontId="37" fillId="0" borderId="13" applyNumberFormat="0" applyFill="0" applyAlignment="0" applyProtection="0"/>
    <xf numFmtId="0" fontId="38" fillId="4" borderId="0" applyNumberFormat="0" applyBorder="0" applyAlignment="0" applyProtection="0"/>
    <xf numFmtId="0" fontId="27" fillId="0" borderId="0"/>
    <xf numFmtId="0" fontId="27" fillId="0" borderId="0"/>
    <xf numFmtId="0" fontId="39" fillId="0" borderId="0"/>
    <xf numFmtId="0" fontId="32" fillId="0" borderId="0"/>
    <xf numFmtId="0" fontId="40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24" fillId="0" borderId="0"/>
    <xf numFmtId="0" fontId="32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7" fillId="0" borderId="0"/>
    <xf numFmtId="0" fontId="27" fillId="8" borderId="15" applyNumberFormat="0" applyFont="0" applyAlignment="0" applyProtection="0"/>
    <xf numFmtId="0" fontId="27" fillId="8" borderId="15" applyNumberFormat="0" applyFont="0" applyAlignment="0" applyProtection="0"/>
    <xf numFmtId="0" fontId="41" fillId="6" borderId="12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2" fillId="0" borderId="0"/>
    <xf numFmtId="167" fontId="43" fillId="0" borderId="0">
      <alignment horizontal="right" vertical="top"/>
    </xf>
    <xf numFmtId="0" fontId="44" fillId="0" borderId="0">
      <alignment horizontal="left" indent="1"/>
    </xf>
    <xf numFmtId="168" fontId="45" fillId="0" borderId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40" borderId="0" applyNumberFormat="0" applyBorder="0" applyAlignment="0" applyProtection="0"/>
    <xf numFmtId="165" fontId="24" fillId="0" borderId="0" applyFont="0" applyFill="0" applyBorder="0" applyAlignment="0" applyProtection="0">
      <alignment wrapText="1"/>
    </xf>
    <xf numFmtId="0" fontId="85" fillId="0" borderId="0" applyNumberFormat="0" applyFill="0" applyBorder="0" applyAlignment="0" applyProtection="0"/>
    <xf numFmtId="0" fontId="71" fillId="36" borderId="0" applyNumberFormat="0" applyBorder="0" applyAlignment="0" applyProtection="0"/>
    <xf numFmtId="0" fontId="25" fillId="0" borderId="0"/>
    <xf numFmtId="0" fontId="24" fillId="0" borderId="0" applyFill="0" applyBorder="0" applyProtection="0">
      <alignment horizontal="left" vertical="top"/>
    </xf>
    <xf numFmtId="0" fontId="25" fillId="0" borderId="0"/>
    <xf numFmtId="165" fontId="24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5" fillId="39" borderId="0" applyNumberFormat="0" applyBorder="0" applyAlignment="0" applyProtection="0"/>
    <xf numFmtId="0" fontId="63" fillId="0" borderId="0" applyFill="0" applyBorder="0" applyProtection="0">
      <alignment horizontal="left" vertical="top"/>
    </xf>
    <xf numFmtId="0" fontId="67" fillId="34" borderId="0" applyFill="0" applyBorder="0" applyProtection="0">
      <alignment horizontal="left"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8" fillId="0" borderId="0" applyNumberFormat="0" applyFill="0" applyBorder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43" fontId="25" fillId="0" borderId="0" applyFont="0" applyFill="0" applyBorder="0" applyAlignment="0" applyProtection="0"/>
    <xf numFmtId="0" fontId="70" fillId="52" borderId="0" applyNumberFormat="0" applyBorder="0" applyAlignment="0" applyProtection="0"/>
    <xf numFmtId="0" fontId="24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4" fillId="0" borderId="0"/>
    <xf numFmtId="0" fontId="25" fillId="0" borderId="0"/>
    <xf numFmtId="0" fontId="24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0" fontId="24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165" fontId="87" fillId="0" borderId="0" applyFont="0" applyFill="0" applyBorder="0" applyAlignment="0" applyProtection="0"/>
    <xf numFmtId="0" fontId="86" fillId="0" borderId="0"/>
    <xf numFmtId="0" fontId="6" fillId="0" borderId="0"/>
    <xf numFmtId="0" fontId="25" fillId="0" borderId="0"/>
    <xf numFmtId="0" fontId="6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84" fillId="0" borderId="29" applyNumberFormat="0" applyFill="0" applyAlignment="0" applyProtection="0"/>
    <xf numFmtId="0" fontId="82" fillId="53" borderId="28" applyNumberFormat="0" applyAlignment="0" applyProtection="0"/>
    <xf numFmtId="0" fontId="25" fillId="0" borderId="0"/>
    <xf numFmtId="0" fontId="6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6" fillId="0" borderId="0" applyFont="0" applyFill="0" applyBorder="0" applyAlignment="0" applyProtection="0"/>
    <xf numFmtId="0" fontId="82" fillId="53" borderId="28" applyNumberFormat="0" applyAlignment="0" applyProtection="0"/>
    <xf numFmtId="0" fontId="25" fillId="0" borderId="0"/>
    <xf numFmtId="0" fontId="75" fillId="37" borderId="0" applyNumberFormat="0" applyBorder="0" applyAlignment="0" applyProtection="0"/>
    <xf numFmtId="0" fontId="6" fillId="0" borderId="0"/>
    <xf numFmtId="0" fontId="70" fillId="49" borderId="0" applyNumberFormat="0" applyBorder="0" applyAlignment="0" applyProtection="0"/>
    <xf numFmtId="0" fontId="32" fillId="0" borderId="0"/>
    <xf numFmtId="0" fontId="48" fillId="0" borderId="0"/>
    <xf numFmtId="0" fontId="24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51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49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9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22" fontId="24" fillId="0" borderId="0" applyFont="0" applyFill="0" applyBorder="0" applyAlignment="0" applyProtection="0">
      <alignment horizontal="left"/>
    </xf>
    <xf numFmtId="172" fontId="24" fillId="0" borderId="0" applyFont="0" applyFill="0" applyBorder="0" applyAlignment="0" applyProtection="0">
      <alignment horizontal="left"/>
    </xf>
    <xf numFmtId="173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5" fontId="55" fillId="0" borderId="0" applyFont="0" applyFill="0" applyBorder="0" applyAlignment="0" applyProtection="0"/>
    <xf numFmtId="0" fontId="56" fillId="0" borderId="0"/>
    <xf numFmtId="0" fontId="57" fillId="0" borderId="0"/>
    <xf numFmtId="0" fontId="58" fillId="0" borderId="0"/>
    <xf numFmtId="176" fontId="55" fillId="0" borderId="0" applyFont="0" applyFill="0" applyBorder="0" applyAlignment="0" applyProtection="0"/>
    <xf numFmtId="177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5" fillId="33" borderId="0" applyNumberFormat="0" applyFont="0" applyBorder="0" applyAlignment="0" applyProtection="0"/>
    <xf numFmtId="197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22" fontId="24" fillId="0" borderId="0" applyFont="0" applyFill="0" applyBorder="0" applyAlignment="0" applyProtection="0">
      <alignment horizontal="left"/>
    </xf>
    <xf numFmtId="172" fontId="24" fillId="0" borderId="0" applyFont="0" applyFill="0" applyBorder="0" applyAlignment="0" applyProtection="0">
      <alignment horizontal="left"/>
    </xf>
    <xf numFmtId="173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5" fontId="55" fillId="0" borderId="0" applyFont="0" applyFill="0" applyBorder="0" applyAlignment="0" applyProtection="0"/>
    <xf numFmtId="176" fontId="55" fillId="0" borderId="0" applyFont="0" applyFill="0" applyBorder="0" applyAlignment="0" applyProtection="0"/>
    <xf numFmtId="177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24" fillId="0" borderId="0" applyFont="0" applyFill="0" applyBorder="0" applyAlignment="0" applyProtection="0"/>
    <xf numFmtId="0" fontId="55" fillId="33" borderId="0" applyNumberFormat="0" applyFont="0" applyBorder="0" applyAlignment="0" applyProtection="0"/>
    <xf numFmtId="197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22" fontId="24" fillId="0" borderId="0" applyFont="0" applyFill="0" applyBorder="0" applyAlignment="0" applyProtection="0">
      <alignment horizontal="left"/>
    </xf>
    <xf numFmtId="173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5" fontId="55" fillId="0" borderId="0" applyFont="0" applyFill="0" applyBorder="0" applyAlignment="0" applyProtection="0"/>
    <xf numFmtId="176" fontId="55" fillId="0" borderId="0" applyFont="0" applyFill="0" applyBorder="0" applyAlignment="0" applyProtection="0"/>
    <xf numFmtId="177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55" fillId="33" borderId="0" applyNumberFormat="0" applyFont="0" applyBorder="0" applyAlignment="0" applyProtection="0"/>
    <xf numFmtId="197" fontId="55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22" fontId="24" fillId="0" borderId="0" applyFont="0" applyFill="0" applyBorder="0" applyAlignment="0" applyProtection="0">
      <alignment horizontal="left"/>
    </xf>
    <xf numFmtId="173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5" fontId="55" fillId="0" borderId="0" applyFont="0" applyFill="0" applyBorder="0" applyAlignment="0" applyProtection="0"/>
    <xf numFmtId="176" fontId="55" fillId="0" borderId="0" applyFont="0" applyFill="0" applyBorder="0" applyAlignment="0" applyProtection="0"/>
    <xf numFmtId="177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55" fillId="33" borderId="0" applyNumberFormat="0" applyFont="0" applyBorder="0" applyAlignment="0" applyProtection="0"/>
    <xf numFmtId="197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22" fontId="24" fillId="0" borderId="0" applyFont="0" applyFill="0" applyBorder="0" applyAlignment="0" applyProtection="0">
      <alignment horizontal="left"/>
    </xf>
    <xf numFmtId="173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5" fontId="55" fillId="0" borderId="0" applyFont="0" applyFill="0" applyBorder="0" applyAlignment="0" applyProtection="0"/>
    <xf numFmtId="176" fontId="55" fillId="0" borderId="0" applyFont="0" applyFill="0" applyBorder="0" applyAlignment="0" applyProtection="0"/>
    <xf numFmtId="177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55" fillId="33" borderId="0" applyNumberFormat="0" applyFont="0" applyBorder="0" applyAlignment="0" applyProtection="0"/>
    <xf numFmtId="197" fontId="55" fillId="0" borderId="0" applyFont="0" applyFill="0" applyBorder="0" applyAlignment="0" applyProtection="0"/>
    <xf numFmtId="0" fontId="6" fillId="0" borderId="0"/>
    <xf numFmtId="0" fontId="48" fillId="0" borderId="0"/>
    <xf numFmtId="0" fontId="47" fillId="0" borderId="0">
      <alignment vertical="top"/>
    </xf>
    <xf numFmtId="9" fontId="47" fillId="0" borderId="0" applyFont="0" applyFill="0" applyBorder="0" applyAlignment="0" applyProtection="0"/>
    <xf numFmtId="0" fontId="47" fillId="0" borderId="0">
      <alignment vertical="top"/>
    </xf>
    <xf numFmtId="0" fontId="6" fillId="0" borderId="0"/>
    <xf numFmtId="0" fontId="48" fillId="0" borderId="0"/>
    <xf numFmtId="0" fontId="24" fillId="0" borderId="0"/>
    <xf numFmtId="9" fontId="24" fillId="0" borderId="0" applyFont="0" applyFill="0" applyBorder="0" applyAlignment="0" applyProtection="0"/>
    <xf numFmtId="0" fontId="47" fillId="0" borderId="0">
      <alignment vertical="top"/>
    </xf>
    <xf numFmtId="43" fontId="47" fillId="0" borderId="0" applyFont="0" applyFill="0" applyBorder="0" applyAlignment="0" applyProtection="0"/>
    <xf numFmtId="0" fontId="48" fillId="0" borderId="0"/>
    <xf numFmtId="0" fontId="70" fillId="47" borderId="0" applyNumberFormat="0" applyBorder="0" applyAlignment="0" applyProtection="0"/>
    <xf numFmtId="0" fontId="73" fillId="54" borderId="22" applyNumberFormat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24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0" fontId="71" fillId="36" borderId="0" applyNumberFormat="0" applyBorder="0" applyAlignment="0" applyProtection="0"/>
    <xf numFmtId="0" fontId="70" fillId="47" borderId="0" applyNumberFormat="0" applyBorder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3" fillId="54" borderId="22" applyNumberFormat="0" applyAlignment="0" applyProtection="0"/>
    <xf numFmtId="165" fontId="24" fillId="0" borderId="0" applyFont="0" applyFill="0" applyBorder="0" applyAlignment="0" applyProtection="0">
      <alignment wrapText="1"/>
    </xf>
    <xf numFmtId="0" fontId="74" fillId="0" borderId="0" applyNumberFormat="0" applyFill="0" applyBorder="0" applyAlignment="0" applyProtection="0"/>
    <xf numFmtId="0" fontId="76" fillId="0" borderId="23" applyNumberFormat="0" applyFill="0" applyAlignment="0" applyProtection="0"/>
    <xf numFmtId="0" fontId="75" fillId="37" borderId="0" applyNumberFormat="0" applyBorder="0" applyAlignment="0" applyProtection="0"/>
    <xf numFmtId="0" fontId="76" fillId="0" borderId="23" applyNumberFormat="0" applyFill="0" applyAlignment="0" applyProtection="0"/>
    <xf numFmtId="0" fontId="80" fillId="0" borderId="26" applyNumberFormat="0" applyFill="0" applyAlignment="0" applyProtection="0"/>
    <xf numFmtId="0" fontId="81" fillId="55" borderId="0" applyNumberFormat="0" applyBorder="0" applyAlignment="0" applyProtection="0"/>
    <xf numFmtId="0" fontId="78" fillId="0" borderId="25" applyNumberFormat="0" applyFill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3" fillId="0" borderId="0" applyNumberFormat="0" applyFill="0" applyBorder="0" applyAlignment="0" applyProtection="0"/>
    <xf numFmtId="0" fontId="84" fillId="0" borderId="29" applyNumberFormat="0" applyFill="0" applyAlignment="0" applyProtection="0"/>
    <xf numFmtId="0" fontId="83" fillId="0" borderId="0" applyNumberFormat="0" applyFill="0" applyBorder="0" applyAlignment="0" applyProtection="0"/>
    <xf numFmtId="0" fontId="6" fillId="0" borderId="0"/>
    <xf numFmtId="0" fontId="6" fillId="0" borderId="0"/>
    <xf numFmtId="0" fontId="24" fillId="0" borderId="0"/>
    <xf numFmtId="0" fontId="60" fillId="0" borderId="0"/>
    <xf numFmtId="0" fontId="61" fillId="0" borderId="0">
      <alignment horizontal="left" vertical="top"/>
    </xf>
    <xf numFmtId="0" fontId="62" fillId="0" borderId="0" applyFill="0" applyBorder="0" applyProtection="0">
      <alignment horizontal="left" vertical="top"/>
    </xf>
    <xf numFmtId="0" fontId="25" fillId="39" borderId="0" applyNumberFormat="0" applyBorder="0" applyAlignment="0" applyProtection="0"/>
    <xf numFmtId="0" fontId="64" fillId="34" borderId="0" applyFill="0" applyBorder="0" applyProtection="0">
      <alignment horizontal="left" vertical="top"/>
    </xf>
    <xf numFmtId="0" fontId="65" fillId="0" borderId="0">
      <alignment horizontal="left" vertical="top"/>
    </xf>
    <xf numFmtId="0" fontId="66" fillId="0" borderId="0">
      <alignment horizontal="left" vertical="top"/>
    </xf>
    <xf numFmtId="0" fontId="78" fillId="0" borderId="25" applyNumberFormat="0" applyFill="0" applyAlignment="0" applyProtection="0"/>
    <xf numFmtId="0" fontId="25" fillId="41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70" fillId="42" borderId="0" applyNumberFormat="0" applyBorder="0" applyAlignment="0" applyProtection="0"/>
    <xf numFmtId="0" fontId="70" fillId="47" borderId="0" applyNumberFormat="0" applyBorder="0" applyAlignment="0" applyProtection="0"/>
    <xf numFmtId="0" fontId="71" fillId="36" borderId="0" applyNumberFormat="0" applyBorder="0" applyAlignment="0" applyProtection="0"/>
    <xf numFmtId="0" fontId="73" fillId="54" borderId="22" applyNumberFormat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>
      <alignment wrapText="1"/>
    </xf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7" fillId="0" borderId="24" applyNumberFormat="0" applyFill="0" applyAlignment="0" applyProtection="0"/>
    <xf numFmtId="0" fontId="78" fillId="0" borderId="2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0" fillId="0" borderId="0"/>
    <xf numFmtId="0" fontId="8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0" fillId="0" borderId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>
      <alignment wrapText="1"/>
    </xf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0" fontId="2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70" fillId="52" borderId="0" applyNumberFormat="0" applyBorder="0" applyAlignment="0" applyProtection="0"/>
    <xf numFmtId="0" fontId="25" fillId="0" borderId="0"/>
    <xf numFmtId="0" fontId="82" fillId="53" borderId="28" applyNumberFormat="0" applyAlignment="0" applyProtection="0"/>
    <xf numFmtId="0" fontId="85" fillId="0" borderId="0" applyNumberFormat="0" applyFill="0" applyBorder="0" applyAlignment="0" applyProtection="0"/>
    <xf numFmtId="0" fontId="6" fillId="0" borderId="0"/>
    <xf numFmtId="0" fontId="25" fillId="0" borderId="0"/>
    <xf numFmtId="0" fontId="25" fillId="0" borderId="0"/>
    <xf numFmtId="0" fontId="25" fillId="0" borderId="0"/>
    <xf numFmtId="0" fontId="24" fillId="56" borderId="27" applyNumberFormat="0" applyFont="0" applyAlignment="0" applyProtection="0"/>
    <xf numFmtId="0" fontId="8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58" fillId="34" borderId="0" applyBorder="0" applyProtection="0">
      <alignment horizontal="left" vertical="top"/>
    </xf>
    <xf numFmtId="0" fontId="25" fillId="0" borderId="0"/>
    <xf numFmtId="0" fontId="24" fillId="0" borderId="0">
      <alignment wrapText="1"/>
    </xf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0" fontId="24" fillId="0" borderId="0">
      <alignment wrapText="1"/>
    </xf>
    <xf numFmtId="0" fontId="6" fillId="0" borderId="0"/>
    <xf numFmtId="0" fontId="25" fillId="35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70" fillId="45" borderId="0" applyNumberFormat="0" applyBorder="0" applyAlignment="0" applyProtection="0"/>
    <xf numFmtId="0" fontId="70" fillId="43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50" borderId="0" applyNumberFormat="0" applyBorder="0" applyAlignment="0" applyProtection="0"/>
    <xf numFmtId="0" fontId="70" fillId="46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25" fillId="44" borderId="0" applyNumberFormat="0" applyBorder="0" applyAlignment="0" applyProtection="0"/>
    <xf numFmtId="0" fontId="72" fillId="53" borderId="21" applyNumberFormat="0" applyAlignment="0" applyProtection="0"/>
    <xf numFmtId="43" fontId="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6" fillId="0" borderId="0"/>
    <xf numFmtId="0" fontId="25" fillId="0" borderId="0"/>
    <xf numFmtId="165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6" fillId="0" borderId="0" applyFont="0" applyFill="0" applyBorder="0" applyAlignment="0" applyProtection="0"/>
    <xf numFmtId="0" fontId="6" fillId="0" borderId="0"/>
    <xf numFmtId="0" fontId="68" fillId="0" borderId="0" applyFill="0" applyBorder="0" applyProtection="0">
      <alignment horizontal="left" vertical="top"/>
    </xf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41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7" borderId="0" applyNumberFormat="0" applyBorder="0" applyAlignment="0" applyProtection="0"/>
    <xf numFmtId="0" fontId="70" fillId="49" borderId="0" applyNumberFormat="0" applyBorder="0" applyAlignment="0" applyProtection="0"/>
    <xf numFmtId="0" fontId="70" fillId="51" borderId="0" applyNumberFormat="0" applyBorder="0" applyAlignment="0" applyProtection="0"/>
    <xf numFmtId="0" fontId="70" fillId="46" borderId="0" applyNumberFormat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4" fillId="0" borderId="0" applyFill="0" applyBorder="0" applyProtection="0">
      <alignment horizontal="left" vertical="top"/>
    </xf>
    <xf numFmtId="44" fontId="6" fillId="0" borderId="0" applyFont="0" applyFill="0" applyBorder="0" applyAlignment="0" applyProtection="0"/>
    <xf numFmtId="0" fontId="87" fillId="0" borderId="0"/>
    <xf numFmtId="0" fontId="69" fillId="34" borderId="0" applyBorder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38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9" borderId="0" applyNumberFormat="0" applyBorder="0" applyAlignment="0" applyProtection="0"/>
    <xf numFmtId="0" fontId="70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59" fillId="0" borderId="0" applyFill="0" applyBorder="0" applyProtection="0">
      <alignment horizontal="left" vertical="top"/>
    </xf>
    <xf numFmtId="0" fontId="24" fillId="0" borderId="0">
      <alignment wrapText="1"/>
    </xf>
    <xf numFmtId="0" fontId="6" fillId="0" borderId="0"/>
    <xf numFmtId="0" fontId="25" fillId="0" borderId="0"/>
    <xf numFmtId="0" fontId="60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5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70" fillId="45" borderId="0" applyNumberFormat="0" applyBorder="0" applyAlignment="0" applyProtection="0"/>
    <xf numFmtId="0" fontId="70" fillId="42" borderId="0" applyNumberFormat="0" applyBorder="0" applyAlignment="0" applyProtection="0"/>
    <xf numFmtId="0" fontId="70" fillId="46" borderId="0" applyNumberFormat="0" applyBorder="0" applyAlignment="0" applyProtection="0"/>
    <xf numFmtId="0" fontId="70" fillId="48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0" fillId="52" borderId="0" applyNumberFormat="0" applyBorder="0" applyAlignment="0" applyProtection="0"/>
    <xf numFmtId="165" fontId="24" fillId="0" borderId="0" applyFont="0" applyFill="0" applyBorder="0" applyAlignment="0" applyProtection="0">
      <alignment wrapText="1"/>
    </xf>
    <xf numFmtId="0" fontId="25" fillId="0" borderId="0"/>
    <xf numFmtId="43" fontId="6" fillId="0" borderId="0" applyFont="0" applyFill="0" applyBorder="0" applyAlignment="0" applyProtection="0"/>
    <xf numFmtId="0" fontId="25" fillId="0" borderId="0"/>
    <xf numFmtId="0" fontId="25" fillId="0" borderId="0"/>
    <xf numFmtId="0" fontId="60" fillId="0" borderId="0"/>
    <xf numFmtId="0" fontId="6" fillId="0" borderId="0"/>
    <xf numFmtId="0" fontId="25" fillId="0" borderId="0"/>
    <xf numFmtId="0" fontId="60" fillId="0" borderId="0"/>
    <xf numFmtId="0" fontId="25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25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70" fillId="45" borderId="0" applyNumberFormat="0" applyBorder="0" applyAlignment="0" applyProtection="0"/>
    <xf numFmtId="0" fontId="70" fillId="43" borderId="0" applyNumberFormat="0" applyBorder="0" applyAlignment="0" applyProtection="0"/>
    <xf numFmtId="0" fontId="70" fillId="46" borderId="0" applyNumberFormat="0" applyBorder="0" applyAlignment="0" applyProtection="0"/>
    <xf numFmtId="0" fontId="70" fillId="48" borderId="0" applyNumberFormat="0" applyBorder="0" applyAlignment="0" applyProtection="0"/>
    <xf numFmtId="0" fontId="70" fillId="50" borderId="0" applyNumberFormat="0" applyBorder="0" applyAlignment="0" applyProtection="0"/>
    <xf numFmtId="0" fontId="70" fillId="46" borderId="0" applyNumberFormat="0" applyBorder="0" applyAlignment="0" applyProtection="0"/>
    <xf numFmtId="0" fontId="6" fillId="0" borderId="0"/>
    <xf numFmtId="0" fontId="84" fillId="0" borderId="29" applyNumberFormat="0" applyFill="0" applyAlignment="0" applyProtection="0"/>
    <xf numFmtId="0" fontId="59" fillId="0" borderId="0">
      <alignment horizontal="left" vertical="top"/>
    </xf>
    <xf numFmtId="0" fontId="74" fillId="0" borderId="0" applyNumberFormat="0" applyFill="0" applyBorder="0" applyAlignment="0" applyProtection="0"/>
    <xf numFmtId="0" fontId="25" fillId="0" borderId="0"/>
    <xf numFmtId="0" fontId="6" fillId="0" borderId="0"/>
    <xf numFmtId="0" fontId="76" fillId="0" borderId="23" applyNumberFormat="0" applyFill="0" applyAlignment="0" applyProtection="0"/>
    <xf numFmtId="0" fontId="6" fillId="0" borderId="0"/>
    <xf numFmtId="0" fontId="24" fillId="0" borderId="0" applyFill="0" applyBorder="0" applyProtection="0">
      <alignment horizontal="left" vertical="top"/>
    </xf>
    <xf numFmtId="0" fontId="25" fillId="36" borderId="0" applyNumberFormat="0" applyBorder="0" applyAlignment="0" applyProtection="0"/>
    <xf numFmtId="0" fontId="6" fillId="0" borderId="0"/>
    <xf numFmtId="0" fontId="74" fillId="0" borderId="0" applyNumberFormat="0" applyFill="0" applyBorder="0" applyAlignment="0" applyProtection="0"/>
    <xf numFmtId="0" fontId="25" fillId="0" borderId="0"/>
    <xf numFmtId="0" fontId="75" fillId="37" borderId="0" applyNumberFormat="0" applyBorder="0" applyAlignment="0" applyProtection="0"/>
    <xf numFmtId="0" fontId="2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24" fillId="0" borderId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82" fillId="53" borderId="28" applyNumberFormat="0" applyAlignment="0" applyProtection="0"/>
    <xf numFmtId="0" fontId="79" fillId="40" borderId="21" applyNumberFormat="0" applyAlignment="0" applyProtection="0"/>
    <xf numFmtId="0" fontId="24" fillId="0" borderId="0"/>
    <xf numFmtId="0" fontId="24" fillId="0" borderId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24" fillId="0" borderId="0"/>
    <xf numFmtId="0" fontId="79" fillId="40" borderId="21" applyNumberFormat="0" applyAlignment="0" applyProtection="0"/>
    <xf numFmtId="0" fontId="82" fillId="53" borderId="28" applyNumberFormat="0" applyAlignment="0" applyProtection="0"/>
    <xf numFmtId="0" fontId="24" fillId="0" borderId="0"/>
    <xf numFmtId="0" fontId="82" fillId="53" borderId="28" applyNumberFormat="0" applyAlignment="0" applyProtection="0"/>
    <xf numFmtId="0" fontId="72" fillId="53" borderId="21" applyNumberFormat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79" fillId="40" borderId="21" applyNumberFormat="0" applyAlignment="0" applyProtection="0"/>
    <xf numFmtId="0" fontId="24" fillId="56" borderId="27" applyNumberFormat="0" applyFont="0" applyAlignment="0" applyProtection="0"/>
    <xf numFmtId="0" fontId="82" fillId="53" borderId="28" applyNumberFormat="0" applyAlignment="0" applyProtection="0"/>
    <xf numFmtId="0" fontId="79" fillId="40" borderId="21" applyNumberFormat="0" applyAlignment="0" applyProtection="0"/>
    <xf numFmtId="0" fontId="24" fillId="56" borderId="27" applyNumberFormat="0" applyFon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24" fillId="0" borderId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79" fillId="40" borderId="21" applyNumberFormat="0" applyAlignment="0" applyProtection="0"/>
    <xf numFmtId="0" fontId="24" fillId="0" borderId="0"/>
    <xf numFmtId="0" fontId="72" fillId="53" borderId="21" applyNumberFormat="0" applyAlignment="0" applyProtection="0"/>
    <xf numFmtId="0" fontId="84" fillId="0" borderId="29" applyNumberFormat="0" applyFill="0" applyAlignment="0" applyProtection="0"/>
    <xf numFmtId="0" fontId="79" fillId="40" borderId="21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24" fillId="0" borderId="0"/>
    <xf numFmtId="0" fontId="84" fillId="0" borderId="29" applyNumberFormat="0" applyFill="0" applyAlignment="0" applyProtection="0"/>
    <xf numFmtId="0" fontId="72" fillId="53" borderId="21" applyNumberFormat="0" applyAlignment="0" applyProtection="0"/>
    <xf numFmtId="0" fontId="84" fillId="0" borderId="29" applyNumberFormat="0" applyFill="0" applyAlignment="0" applyProtection="0"/>
    <xf numFmtId="0" fontId="24" fillId="56" borderId="27" applyNumberFormat="0" applyFont="0" applyAlignment="0" applyProtection="0"/>
    <xf numFmtId="0" fontId="84" fillId="0" borderId="29" applyNumberFormat="0" applyFill="0" applyAlignment="0" applyProtection="0"/>
    <xf numFmtId="0" fontId="72" fillId="53" borderId="21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24" fillId="0" borderId="0"/>
    <xf numFmtId="0" fontId="24" fillId="0" borderId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72" fillId="53" borderId="21" applyNumberFormat="0" applyAlignment="0" applyProtection="0"/>
    <xf numFmtId="0" fontId="24" fillId="56" borderId="27" applyNumberFormat="0" applyFon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24" fillId="56" borderId="27" applyNumberFormat="0" applyFont="0" applyAlignment="0" applyProtection="0"/>
    <xf numFmtId="0" fontId="84" fillId="0" borderId="29" applyNumberFormat="0" applyFill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79" fillId="40" borderId="21" applyNumberFormat="0" applyAlignment="0" applyProtection="0"/>
    <xf numFmtId="0" fontId="24" fillId="56" borderId="27" applyNumberFormat="0" applyFont="0" applyAlignment="0" applyProtection="0"/>
    <xf numFmtId="0" fontId="82" fillId="53" borderId="28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84" fillId="0" borderId="29" applyNumberFormat="0" applyFill="0" applyAlignment="0" applyProtection="0"/>
    <xf numFmtId="0" fontId="72" fillId="53" borderId="21" applyNumberFormat="0" applyAlignment="0" applyProtection="0"/>
    <xf numFmtId="0" fontId="84" fillId="0" borderId="2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24" fillId="56" borderId="27" applyNumberFormat="0" applyFon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24" fillId="56" borderId="27" applyNumberFormat="0" applyFont="0" applyAlignment="0" applyProtection="0"/>
    <xf numFmtId="0" fontId="82" fillId="53" borderId="28" applyNumberFormat="0" applyAlignment="0" applyProtection="0"/>
    <xf numFmtId="0" fontId="24" fillId="56" borderId="27" applyNumberFormat="0" applyFon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24" fillId="56" borderId="27" applyNumberFormat="0" applyFont="0" applyAlignment="0" applyProtection="0"/>
    <xf numFmtId="0" fontId="84" fillId="0" borderId="29" applyNumberFormat="0" applyFill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24" fillId="56" borderId="27" applyNumberFormat="0" applyFont="0" applyAlignment="0" applyProtection="0"/>
    <xf numFmtId="0" fontId="24" fillId="56" borderId="27" applyNumberFormat="0" applyFont="0" applyAlignment="0" applyProtection="0"/>
    <xf numFmtId="0" fontId="84" fillId="0" borderId="29" applyNumberFormat="0" applyFill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24" fillId="56" borderId="27" applyNumberFormat="0" applyFont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6" fillId="8" borderId="15" applyNumberFormat="0" applyFont="0" applyAlignment="0" applyProtection="0"/>
    <xf numFmtId="0" fontId="27" fillId="0" borderId="0"/>
    <xf numFmtId="0" fontId="27" fillId="0" borderId="0"/>
    <xf numFmtId="0" fontId="27" fillId="0" borderId="0"/>
    <xf numFmtId="165" fontId="32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50" fillId="0" borderId="0"/>
    <xf numFmtId="0" fontId="32" fillId="0" borderId="0"/>
    <xf numFmtId="0" fontId="23" fillId="0" borderId="0" applyNumberFormat="0" applyFill="0" applyBorder="0" applyAlignment="0" applyProtection="0"/>
    <xf numFmtId="0" fontId="6" fillId="0" borderId="0"/>
    <xf numFmtId="43" fontId="24" fillId="0" borderId="0" applyFont="0" applyFill="0" applyBorder="0" applyAlignment="0" applyProtection="0"/>
    <xf numFmtId="0" fontId="88" fillId="17" borderId="0" applyNumberFormat="0" applyBorder="0" applyAlignment="0" applyProtection="0"/>
    <xf numFmtId="0" fontId="88" fillId="29" borderId="0" applyNumberFormat="0" applyBorder="0" applyAlignment="0" applyProtection="0"/>
    <xf numFmtId="0" fontId="86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88" fillId="17" borderId="0" applyNumberFormat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7" fillId="0" borderId="0"/>
    <xf numFmtId="0" fontId="32" fillId="0" borderId="0"/>
    <xf numFmtId="0" fontId="32" fillId="0" borderId="0"/>
    <xf numFmtId="0" fontId="27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65" fontId="32" fillId="0" borderId="0" applyFont="0" applyFill="0" applyBorder="0" applyAlignment="0" applyProtection="0"/>
    <xf numFmtId="0" fontId="50" fillId="0" borderId="0"/>
    <xf numFmtId="0" fontId="24" fillId="0" borderId="0"/>
    <xf numFmtId="0" fontId="24" fillId="0" borderId="0"/>
    <xf numFmtId="0" fontId="50" fillId="0" borderId="0"/>
    <xf numFmtId="0" fontId="51" fillId="0" borderId="0"/>
    <xf numFmtId="0" fontId="54" fillId="0" borderId="0"/>
    <xf numFmtId="0" fontId="54" fillId="0" borderId="0"/>
    <xf numFmtId="0" fontId="54" fillId="0" borderId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9" fillId="0" borderId="0"/>
    <xf numFmtId="0" fontId="6" fillId="0" borderId="0"/>
    <xf numFmtId="0" fontId="8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24" fillId="0" borderId="0"/>
    <xf numFmtId="165" fontId="24" fillId="0" borderId="0" applyFont="0" applyFill="0" applyBorder="0" applyAlignment="0" applyProtection="0">
      <alignment wrapText="1"/>
    </xf>
    <xf numFmtId="0" fontId="91" fillId="0" borderId="0"/>
    <xf numFmtId="44" fontId="27" fillId="0" borderId="0" applyFont="0" applyFill="0" applyBorder="0" applyAlignment="0" applyProtection="0"/>
    <xf numFmtId="0" fontId="24" fillId="0" borderId="0">
      <alignment wrapText="1"/>
    </xf>
    <xf numFmtId="0" fontId="24" fillId="0" borderId="0">
      <alignment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0" fillId="0" borderId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0" fontId="24" fillId="0" borderId="0"/>
    <xf numFmtId="165" fontId="87" fillId="0" borderId="0" applyFont="0" applyFill="0" applyBorder="0" applyAlignment="0" applyProtection="0"/>
    <xf numFmtId="0" fontId="24" fillId="0" borderId="0">
      <alignment wrapText="1"/>
    </xf>
    <xf numFmtId="0" fontId="87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 applyFont="0" applyFill="0" applyBorder="0" applyAlignment="0" applyProtection="0"/>
    <xf numFmtId="0" fontId="27" fillId="0" borderId="0"/>
    <xf numFmtId="0" fontId="6" fillId="0" borderId="0"/>
    <xf numFmtId="43" fontId="6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0" fontId="6" fillId="8" borderId="15" applyNumberFormat="0" applyFont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12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6" borderId="11" applyNumberFormat="0" applyAlignment="0" applyProtection="0"/>
    <xf numFmtId="0" fontId="31" fillId="7" borderId="14" applyNumberFormat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0" fillId="0" borderId="10" applyNumberFormat="0" applyFill="0" applyAlignment="0" applyProtection="0"/>
    <xf numFmtId="0" fontId="36" fillId="5" borderId="11" applyNumberFormat="0" applyAlignment="0" applyProtection="0"/>
    <xf numFmtId="0" fontId="37" fillId="0" borderId="13" applyNumberFormat="0" applyFill="0" applyAlignment="0" applyProtection="0"/>
    <xf numFmtId="0" fontId="38" fillId="4" borderId="0" applyNumberFormat="0" applyBorder="0" applyAlignment="0" applyProtection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4" fillId="0" borderId="0"/>
    <xf numFmtId="0" fontId="24" fillId="0" borderId="0"/>
    <xf numFmtId="0" fontId="27" fillId="8" borderId="15" applyNumberFormat="0" applyFont="0" applyAlignment="0" applyProtection="0"/>
    <xf numFmtId="0" fontId="41" fillId="6" borderId="12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38" fontId="45" fillId="0" borderId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86" fillId="0" borderId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94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27" fillId="0" borderId="0"/>
    <xf numFmtId="0" fontId="27" fillId="8" borderId="15" applyNumberFormat="0" applyFont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8" borderId="15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0" fontId="95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39" fillId="0" borderId="0"/>
    <xf numFmtId="43" fontId="6" fillId="0" borderId="0" applyFont="0" applyFill="0" applyBorder="0" applyAlignment="0" applyProtection="0"/>
    <xf numFmtId="0" fontId="96" fillId="0" borderId="0"/>
    <xf numFmtId="165" fontId="25" fillId="0" borderId="0" applyFont="0" applyFill="0" applyBorder="0" applyAlignment="0" applyProtection="0"/>
    <xf numFmtId="0" fontId="47" fillId="0" borderId="0">
      <alignment vertical="top"/>
    </xf>
    <xf numFmtId="0" fontId="97" fillId="3" borderId="0" applyNumberFormat="0" applyBorder="0" applyAlignment="0" applyProtection="0"/>
  </cellStyleXfs>
  <cellXfs count="212">
    <xf numFmtId="0" fontId="0" fillId="0" borderId="0" xfId="0"/>
    <xf numFmtId="0" fontId="0" fillId="0" borderId="0" xfId="0" applyFill="1"/>
    <xf numFmtId="0" fontId="0" fillId="0" borderId="0" xfId="0" applyFill="1" applyBorder="1"/>
    <xf numFmtId="2" fontId="0" fillId="0" borderId="0" xfId="0" applyNumberFormat="1" applyFill="1" applyBorder="1"/>
    <xf numFmtId="10" fontId="0" fillId="0" borderId="0" xfId="0" applyNumberFormat="1" applyFill="1" applyBorder="1"/>
    <xf numFmtId="10" fontId="0" fillId="0" borderId="0" xfId="0" applyNumberFormat="1" applyFill="1"/>
    <xf numFmtId="1" fontId="0" fillId="0" borderId="0" xfId="0" applyNumberFormat="1" applyFill="1"/>
    <xf numFmtId="9" fontId="0" fillId="0" borderId="0" xfId="0" applyNumberFormat="1" applyFill="1"/>
    <xf numFmtId="0" fontId="0" fillId="0" borderId="0" xfId="0" applyFill="1" applyAlignment="1">
      <alignment wrapText="1"/>
    </xf>
    <xf numFmtId="0" fontId="1" fillId="0" borderId="0" xfId="0" applyFont="1" applyFill="1" applyBorder="1"/>
    <xf numFmtId="2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Border="1"/>
    <xf numFmtId="10" fontId="0" fillId="0" borderId="0" xfId="0" applyNumberFormat="1" applyFill="1"/>
    <xf numFmtId="4" fontId="0" fillId="0" borderId="0" xfId="0" applyNumberFormat="1" applyFill="1"/>
    <xf numFmtId="0" fontId="22" fillId="0" borderId="0" xfId="0" applyFont="1" applyFill="1" applyBorder="1"/>
    <xf numFmtId="0" fontId="5" fillId="0" borderId="17" xfId="0" applyFont="1" applyFill="1" applyBorder="1" applyAlignment="1">
      <alignment wrapText="1"/>
    </xf>
    <xf numFmtId="0" fontId="5" fillId="0" borderId="0" xfId="0" applyFont="1" applyFill="1" applyBorder="1" applyProtection="1"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Protection="1">
      <protection locked="0"/>
    </xf>
    <xf numFmtId="0" fontId="5" fillId="0" borderId="0" xfId="0" applyFont="1" applyFill="1" applyBorder="1"/>
    <xf numFmtId="0" fontId="5" fillId="0" borderId="20" xfId="0" applyFont="1" applyFill="1" applyBorder="1" applyProtection="1">
      <protection locked="0"/>
    </xf>
    <xf numFmtId="0" fontId="5" fillId="0" borderId="17" xfId="0" applyFont="1" applyFill="1" applyBorder="1"/>
    <xf numFmtId="1" fontId="0" fillId="0" borderId="0" xfId="0" applyNumberFormat="1" applyFill="1" applyBorder="1"/>
    <xf numFmtId="2" fontId="0" fillId="0" borderId="39" xfId="0" applyNumberFormat="1" applyFill="1" applyBorder="1"/>
    <xf numFmtId="2" fontId="5" fillId="0" borderId="17" xfId="0" applyNumberFormat="1" applyFont="1" applyFill="1" applyBorder="1" applyProtection="1">
      <protection locked="0"/>
    </xf>
    <xf numFmtId="14" fontId="5" fillId="0" borderId="17" xfId="0" applyNumberFormat="1" applyFont="1" applyFill="1" applyBorder="1" applyProtection="1">
      <protection locked="0"/>
    </xf>
    <xf numFmtId="10" fontId="5" fillId="0" borderId="17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14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/>
    <xf numFmtId="10" fontId="5" fillId="0" borderId="17" xfId="0" applyNumberFormat="1" applyFont="1" applyFill="1" applyBorder="1"/>
    <xf numFmtId="14" fontId="5" fillId="0" borderId="17" xfId="0" applyNumberFormat="1" applyFont="1" applyFill="1" applyBorder="1"/>
    <xf numFmtId="15" fontId="5" fillId="0" borderId="17" xfId="0" applyNumberFormat="1" applyFont="1" applyFill="1" applyBorder="1"/>
    <xf numFmtId="2" fontId="5" fillId="0" borderId="17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Fill="1" applyBorder="1"/>
    <xf numFmtId="2" fontId="5" fillId="0" borderId="17" xfId="0" applyNumberFormat="1" applyFont="1" applyFill="1" applyBorder="1" applyAlignment="1" applyProtection="1">
      <alignment vertical="center"/>
      <protection locked="0"/>
    </xf>
    <xf numFmtId="14" fontId="5" fillId="0" borderId="17" xfId="0" applyNumberFormat="1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/>
    <xf numFmtId="0" fontId="5" fillId="0" borderId="18" xfId="0" applyFont="1" applyFill="1" applyBorder="1" applyProtection="1">
      <protection locked="0"/>
    </xf>
    <xf numFmtId="10" fontId="5" fillId="0" borderId="18" xfId="0" applyNumberFormat="1" applyFont="1" applyFill="1" applyBorder="1" applyProtection="1">
      <protection locked="0"/>
    </xf>
    <xf numFmtId="2" fontId="5" fillId="0" borderId="31" xfId="0" applyNumberFormat="1" applyFont="1" applyFill="1" applyBorder="1" applyProtection="1">
      <protection locked="0"/>
    </xf>
    <xf numFmtId="0" fontId="0" fillId="0" borderId="0" xfId="0" applyFill="1" applyBorder="1"/>
    <xf numFmtId="10" fontId="0" fillId="0" borderId="0" xfId="0" applyNumberFormat="1" applyFill="1" applyBorder="1"/>
    <xf numFmtId="0" fontId="0" fillId="0" borderId="43" xfId="0" applyFill="1" applyBorder="1"/>
    <xf numFmtId="0" fontId="0" fillId="0" borderId="35" xfId="0" applyFill="1" applyBorder="1"/>
    <xf numFmtId="0" fontId="0" fillId="0" borderId="0" xfId="0" applyFill="1"/>
    <xf numFmtId="2" fontId="0" fillId="0" borderId="0" xfId="0" applyNumberFormat="1" applyFill="1" applyBorder="1"/>
    <xf numFmtId="0" fontId="5" fillId="0" borderId="5" xfId="0" applyFont="1" applyFill="1" applyBorder="1"/>
    <xf numFmtId="2" fontId="5" fillId="0" borderId="20" xfId="0" applyNumberFormat="1" applyFont="1" applyFill="1" applyBorder="1" applyProtection="1">
      <protection locked="0"/>
    </xf>
    <xf numFmtId="4" fontId="5" fillId="0" borderId="35" xfId="0" applyNumberFormat="1" applyFont="1" applyFill="1" applyBorder="1"/>
    <xf numFmtId="0" fontId="5" fillId="0" borderId="20" xfId="0" applyFont="1" applyFill="1" applyBorder="1"/>
    <xf numFmtId="0" fontId="5" fillId="0" borderId="35" xfId="0" applyFont="1" applyFill="1" applyBorder="1"/>
    <xf numFmtId="3" fontId="5" fillId="0" borderId="17" xfId="0" applyNumberFormat="1" applyFont="1" applyFill="1" applyBorder="1" applyProtection="1">
      <protection locked="0"/>
    </xf>
    <xf numFmtId="1" fontId="5" fillId="0" borderId="17" xfId="0" applyNumberFormat="1" applyFont="1" applyFill="1" applyBorder="1"/>
    <xf numFmtId="10" fontId="5" fillId="0" borderId="19" xfId="0" applyNumberFormat="1" applyFont="1" applyFill="1" applyBorder="1"/>
    <xf numFmtId="2" fontId="5" fillId="0" borderId="45" xfId="0" applyNumberFormat="1" applyFont="1" applyFill="1" applyBorder="1"/>
    <xf numFmtId="0" fontId="5" fillId="0" borderId="0" xfId="0" applyFont="1" applyFill="1"/>
    <xf numFmtId="3" fontId="5" fillId="0" borderId="0" xfId="0" applyNumberFormat="1" applyFont="1" applyFill="1"/>
    <xf numFmtId="2" fontId="5" fillId="0" borderId="31" xfId="0" applyNumberFormat="1" applyFont="1" applyFill="1" applyBorder="1"/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2" fontId="100" fillId="0" borderId="17" xfId="0" applyNumberFormat="1" applyFont="1" applyFill="1" applyBorder="1"/>
    <xf numFmtId="0" fontId="5" fillId="0" borderId="1" xfId="0" applyFont="1" applyFill="1" applyBorder="1"/>
    <xf numFmtId="10" fontId="5" fillId="0" borderId="0" xfId="0" applyNumberFormat="1" applyFont="1" applyFill="1"/>
    <xf numFmtId="14" fontId="5" fillId="0" borderId="0" xfId="0" applyNumberFormat="1" applyFont="1" applyFill="1"/>
    <xf numFmtId="4" fontId="5" fillId="0" borderId="0" xfId="0" applyNumberFormat="1" applyFont="1" applyFill="1"/>
    <xf numFmtId="2" fontId="5" fillId="0" borderId="17" xfId="0" applyNumberFormat="1" applyFont="1" applyFill="1" applyBorder="1" applyProtection="1"/>
    <xf numFmtId="2" fontId="5" fillId="0" borderId="17" xfId="2" applyNumberFormat="1" applyFont="1" applyFill="1" applyBorder="1" applyProtection="1">
      <protection locked="0"/>
    </xf>
    <xf numFmtId="14" fontId="5" fillId="0" borderId="0" xfId="0" applyNumberFormat="1" applyFont="1" applyFill="1" applyBorder="1"/>
    <xf numFmtId="2" fontId="98" fillId="0" borderId="17" xfId="0" applyNumberFormat="1" applyFont="1" applyFill="1" applyBorder="1"/>
    <xf numFmtId="9" fontId="5" fillId="0" borderId="17" xfId="0" applyNumberFormat="1" applyFont="1" applyFill="1" applyBorder="1"/>
    <xf numFmtId="3" fontId="5" fillId="0" borderId="17" xfId="0" applyNumberFormat="1" applyFont="1" applyFill="1" applyBorder="1" applyAlignment="1" applyProtection="1">
      <alignment horizontal="center" vertical="center"/>
      <protection locked="0"/>
    </xf>
    <xf numFmtId="17" fontId="5" fillId="0" borderId="17" xfId="0" applyNumberFormat="1" applyFont="1" applyFill="1" applyBorder="1"/>
    <xf numFmtId="9" fontId="5" fillId="0" borderId="0" xfId="0" applyNumberFormat="1" applyFont="1" applyFill="1"/>
    <xf numFmtId="10" fontId="5" fillId="0" borderId="20" xfId="0" applyNumberFormat="1" applyFont="1" applyFill="1" applyBorder="1"/>
    <xf numFmtId="0" fontId="5" fillId="0" borderId="17" xfId="0" applyFont="1" applyFill="1" applyBorder="1" applyProtection="1"/>
    <xf numFmtId="43" fontId="5" fillId="0" borderId="17" xfId="2" applyFont="1" applyFill="1" applyBorder="1" applyProtection="1"/>
    <xf numFmtId="17" fontId="5" fillId="0" borderId="0" xfId="0" applyNumberFormat="1" applyFont="1" applyFill="1" applyBorder="1"/>
    <xf numFmtId="0" fontId="5" fillId="0" borderId="17" xfId="9" applyFont="1" applyFill="1" applyBorder="1" applyProtection="1">
      <protection locked="0"/>
    </xf>
    <xf numFmtId="17" fontId="5" fillId="0" borderId="0" xfId="0" applyNumberFormat="1" applyFont="1" applyFill="1"/>
    <xf numFmtId="2" fontId="5" fillId="0" borderId="35" xfId="0" applyNumberFormat="1" applyFont="1" applyFill="1" applyBorder="1"/>
    <xf numFmtId="2" fontId="5" fillId="0" borderId="0" xfId="0" applyNumberFormat="1" applyFont="1" applyFill="1" applyBorder="1"/>
    <xf numFmtId="2" fontId="5" fillId="0" borderId="20" xfId="0" applyNumberFormat="1" applyFont="1" applyFill="1" applyBorder="1"/>
    <xf numFmtId="0" fontId="5" fillId="0" borderId="47" xfId="0" applyFont="1" applyFill="1" applyBorder="1"/>
    <xf numFmtId="15" fontId="5" fillId="0" borderId="17" xfId="0" applyNumberFormat="1" applyFont="1" applyFill="1" applyBorder="1" applyProtection="1">
      <protection locked="0"/>
    </xf>
    <xf numFmtId="1" fontId="5" fillId="0" borderId="17" xfId="0" applyNumberFormat="1" applyFont="1" applyFill="1" applyBorder="1" applyProtection="1">
      <protection locked="0"/>
    </xf>
    <xf numFmtId="164" fontId="5" fillId="0" borderId="17" xfId="2" applyNumberFormat="1" applyFont="1" applyFill="1" applyBorder="1" applyProtection="1"/>
    <xf numFmtId="43" fontId="5" fillId="0" borderId="17" xfId="2" applyFont="1" applyFill="1" applyBorder="1" applyAlignment="1" applyProtection="1">
      <alignment horizontal="left"/>
      <protection locked="0"/>
    </xf>
    <xf numFmtId="14" fontId="5" fillId="0" borderId="17" xfId="0" applyNumberFormat="1" applyFont="1" applyFill="1" applyBorder="1" applyAlignment="1" applyProtection="1">
      <alignment horizontal="left"/>
      <protection locked="0"/>
    </xf>
    <xf numFmtId="14" fontId="5" fillId="0" borderId="17" xfId="0" applyNumberFormat="1" applyFont="1" applyFill="1" applyBorder="1" applyAlignment="1" applyProtection="1">
      <alignment horizontal="left" wrapText="1"/>
      <protection locked="0"/>
    </xf>
    <xf numFmtId="4" fontId="5" fillId="0" borderId="17" xfId="0" applyNumberFormat="1" applyFont="1" applyFill="1" applyBorder="1"/>
    <xf numFmtId="3" fontId="5" fillId="0" borderId="17" xfId="0" applyNumberFormat="1" applyFont="1" applyFill="1" applyBorder="1"/>
    <xf numFmtId="0" fontId="5" fillId="0" borderId="17" xfId="0" applyNumberFormat="1" applyFont="1" applyFill="1" applyBorder="1" applyProtection="1">
      <protection locked="0"/>
    </xf>
    <xf numFmtId="10" fontId="5" fillId="0" borderId="17" xfId="1" applyNumberFormat="1" applyFont="1" applyFill="1" applyBorder="1"/>
    <xf numFmtId="2" fontId="5" fillId="0" borderId="17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2" fontId="5" fillId="0" borderId="17" xfId="2" applyNumberFormat="1" applyFont="1" applyFill="1" applyBorder="1"/>
    <xf numFmtId="164" fontId="24" fillId="0" borderId="17" xfId="142" applyNumberFormat="1" applyFont="1" applyFill="1" applyBorder="1"/>
    <xf numFmtId="2" fontId="24" fillId="0" borderId="17" xfId="128" applyNumberFormat="1" applyFont="1" applyFill="1" applyBorder="1"/>
    <xf numFmtId="1" fontId="5" fillId="0" borderId="17" xfId="0" applyNumberFormat="1" applyFont="1" applyFill="1" applyBorder="1" applyAlignment="1">
      <alignment wrapText="1"/>
    </xf>
    <xf numFmtId="164" fontId="24" fillId="0" borderId="17" xfId="128" applyNumberFormat="1" applyFont="1" applyFill="1" applyBorder="1"/>
    <xf numFmtId="43" fontId="24" fillId="0" borderId="17" xfId="128" applyNumberFormat="1" applyFont="1" applyFill="1" applyBorder="1"/>
    <xf numFmtId="2" fontId="5" fillId="0" borderId="18" xfId="0" applyNumberFormat="1" applyFont="1" applyFill="1" applyBorder="1"/>
    <xf numFmtId="2" fontId="100" fillId="0" borderId="18" xfId="0" applyNumberFormat="1" applyFont="1" applyFill="1" applyBorder="1"/>
    <xf numFmtId="0" fontId="5" fillId="0" borderId="18" xfId="0" applyFont="1" applyFill="1" applyBorder="1"/>
    <xf numFmtId="10" fontId="5" fillId="0" borderId="18" xfId="0" applyNumberFormat="1" applyFont="1" applyFill="1" applyBorder="1"/>
    <xf numFmtId="14" fontId="5" fillId="0" borderId="18" xfId="0" applyNumberFormat="1" applyFont="1" applyFill="1" applyBorder="1"/>
    <xf numFmtId="1" fontId="5" fillId="0" borderId="18" xfId="0" applyNumberFormat="1" applyFont="1" applyFill="1" applyBorder="1"/>
    <xf numFmtId="0" fontId="5" fillId="0" borderId="2" xfId="0" applyFont="1" applyFill="1" applyBorder="1"/>
    <xf numFmtId="2" fontId="5" fillId="0" borderId="3" xfId="0" applyNumberFormat="1" applyFont="1" applyFill="1" applyBorder="1"/>
    <xf numFmtId="10" fontId="5" fillId="0" borderId="4" xfId="0" applyNumberFormat="1" applyFont="1" applyFill="1" applyBorder="1"/>
    <xf numFmtId="2" fontId="5" fillId="0" borderId="38" xfId="0" applyNumberFormat="1" applyFont="1" applyFill="1" applyBorder="1"/>
    <xf numFmtId="0" fontId="5" fillId="0" borderId="19" xfId="0" applyFont="1" applyFill="1" applyBorder="1"/>
    <xf numFmtId="2" fontId="5" fillId="0" borderId="30" xfId="0" applyNumberFormat="1" applyFont="1" applyFill="1" applyBorder="1"/>
    <xf numFmtId="0" fontId="5" fillId="0" borderId="30" xfId="0" applyFont="1" applyFill="1" applyBorder="1"/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10" fontId="5" fillId="0" borderId="30" xfId="0" applyNumberFormat="1" applyFont="1" applyFill="1" applyBorder="1"/>
    <xf numFmtId="14" fontId="5" fillId="0" borderId="30" xfId="0" applyNumberFormat="1" applyFont="1" applyFill="1" applyBorder="1"/>
    <xf numFmtId="1" fontId="5" fillId="0" borderId="30" xfId="0" applyNumberFormat="1" applyFont="1" applyFill="1" applyBorder="1"/>
    <xf numFmtId="2" fontId="5" fillId="0" borderId="6" xfId="0" applyNumberFormat="1" applyFont="1" applyFill="1" applyBorder="1"/>
    <xf numFmtId="10" fontId="5" fillId="0" borderId="7" xfId="0" applyNumberFormat="1" applyFont="1" applyFill="1" applyBorder="1"/>
    <xf numFmtId="2" fontId="5" fillId="0" borderId="46" xfId="0" applyNumberFormat="1" applyFont="1" applyFill="1" applyBorder="1"/>
    <xf numFmtId="3" fontId="5" fillId="0" borderId="17" xfId="0" applyNumberFormat="1" applyFont="1" applyFill="1" applyBorder="1" applyAlignment="1" applyProtection="1">
      <alignment vertical="center"/>
      <protection locked="0"/>
    </xf>
    <xf numFmtId="10" fontId="5" fillId="0" borderId="17" xfId="0" applyNumberFormat="1" applyFont="1" applyFill="1" applyBorder="1" applyAlignment="1">
      <alignment wrapText="1"/>
    </xf>
    <xf numFmtId="2" fontId="5" fillId="0" borderId="17" xfId="2" applyNumberFormat="1" applyFont="1" applyFill="1" applyBorder="1" applyAlignment="1" applyProtection="1">
      <protection locked="0"/>
    </xf>
    <xf numFmtId="1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98" fontId="5" fillId="0" borderId="17" xfId="0" applyNumberFormat="1" applyFont="1" applyFill="1" applyBorder="1" applyAlignment="1" applyProtection="1">
      <alignment vertical="center"/>
      <protection locked="0"/>
    </xf>
    <xf numFmtId="4" fontId="5" fillId="0" borderId="44" xfId="0" applyNumberFormat="1" applyFont="1" applyFill="1" applyBorder="1"/>
    <xf numFmtId="0" fontId="101" fillId="0" borderId="41" xfId="0" applyFont="1" applyFill="1" applyBorder="1"/>
    <xf numFmtId="0" fontId="5" fillId="0" borderId="42" xfId="0" applyFont="1" applyFill="1" applyBorder="1"/>
    <xf numFmtId="2" fontId="5" fillId="0" borderId="42" xfId="0" applyNumberFormat="1" applyFont="1" applyFill="1" applyBorder="1"/>
    <xf numFmtId="2" fontId="5" fillId="0" borderId="40" xfId="0" applyNumberFormat="1" applyFont="1" applyFill="1" applyBorder="1"/>
    <xf numFmtId="10" fontId="5" fillId="0" borderId="42" xfId="0" applyNumberFormat="1" applyFont="1" applyFill="1" applyBorder="1"/>
    <xf numFmtId="1" fontId="5" fillId="0" borderId="42" xfId="0" applyNumberFormat="1" applyFont="1" applyFill="1" applyBorder="1"/>
    <xf numFmtId="10" fontId="5" fillId="0" borderId="33" xfId="0" applyNumberFormat="1" applyFont="1" applyFill="1" applyBorder="1"/>
    <xf numFmtId="2" fontId="5" fillId="0" borderId="33" xfId="0" applyNumberFormat="1" applyFont="1" applyFill="1" applyBorder="1"/>
    <xf numFmtId="10" fontId="5" fillId="0" borderId="43" xfId="0" applyNumberFormat="1" applyFont="1" applyFill="1" applyBorder="1"/>
    <xf numFmtId="0" fontId="98" fillId="0" borderId="0" xfId="0" applyFont="1" applyFill="1"/>
    <xf numFmtId="14" fontId="5" fillId="0" borderId="20" xfId="0" applyNumberFormat="1" applyFont="1" applyFill="1" applyBorder="1"/>
    <xf numFmtId="14" fontId="5" fillId="0" borderId="20" xfId="0" applyNumberFormat="1" applyFont="1" applyFill="1" applyBorder="1" applyProtection="1">
      <protection locked="0"/>
    </xf>
    <xf numFmtId="17" fontId="5" fillId="0" borderId="20" xfId="0" applyNumberFormat="1" applyFont="1" applyFill="1" applyBorder="1"/>
    <xf numFmtId="15" fontId="5" fillId="0" borderId="20" xfId="0" applyNumberFormat="1" applyFont="1" applyFill="1" applyBorder="1"/>
    <xf numFmtId="0" fontId="5" fillId="0" borderId="20" xfId="0" applyNumberFormat="1" applyFont="1" applyFill="1" applyBorder="1"/>
    <xf numFmtId="14" fontId="5" fillId="0" borderId="20" xfId="0" applyNumberFormat="1" applyFont="1" applyFill="1" applyBorder="1" applyAlignment="1" applyProtection="1">
      <alignment horizontal="left"/>
      <protection locked="0"/>
    </xf>
    <xf numFmtId="3" fontId="5" fillId="0" borderId="20" xfId="0" applyNumberFormat="1" applyFont="1" applyFill="1" applyBorder="1"/>
    <xf numFmtId="14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31" xfId="0" applyFont="1" applyFill="1" applyBorder="1" applyProtection="1">
      <protection locked="0"/>
    </xf>
    <xf numFmtId="15" fontId="5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14" fontId="5" fillId="0" borderId="19" xfId="0" applyNumberFormat="1" applyFont="1" applyFill="1" applyBorder="1"/>
    <xf numFmtId="0" fontId="0" fillId="0" borderId="32" xfId="0" applyFill="1" applyBorder="1"/>
    <xf numFmtId="0" fontId="5" fillId="0" borderId="48" xfId="0" applyFont="1" applyFill="1" applyBorder="1"/>
    <xf numFmtId="0" fontId="5" fillId="0" borderId="45" xfId="0" applyFont="1" applyFill="1" applyBorder="1"/>
    <xf numFmtId="10" fontId="5" fillId="0" borderId="47" xfId="0" applyNumberFormat="1" applyFont="1" applyFill="1" applyBorder="1"/>
    <xf numFmtId="10" fontId="99" fillId="0" borderId="0" xfId="0" applyNumberFormat="1" applyFont="1" applyFill="1" applyAlignment="1">
      <alignment horizontal="left" vertical="top"/>
    </xf>
    <xf numFmtId="164" fontId="24" fillId="0" borderId="18" xfId="128" applyNumberFormat="1" applyFont="1" applyFill="1" applyBorder="1"/>
    <xf numFmtId="164" fontId="5" fillId="0" borderId="49" xfId="0" applyNumberFormat="1" applyFont="1" applyFill="1" applyBorder="1"/>
    <xf numFmtId="0" fontId="5" fillId="0" borderId="49" xfId="0" applyFont="1" applyFill="1" applyBorder="1"/>
    <xf numFmtId="4" fontId="0" fillId="0" borderId="17" xfId="0" applyNumberFormat="1" applyFill="1" applyBorder="1"/>
    <xf numFmtId="0" fontId="1" fillId="0" borderId="49" xfId="0" applyFont="1" applyFill="1" applyBorder="1"/>
    <xf numFmtId="2" fontId="5" fillId="0" borderId="17" xfId="0" applyNumberFormat="1" applyFont="1" applyFill="1" applyBorder="1" applyAlignment="1" applyProtection="1">
      <alignment horizontal="right" vertical="center"/>
      <protection locked="0"/>
    </xf>
    <xf numFmtId="2" fontId="5" fillId="0" borderId="17" xfId="0" applyNumberFormat="1" applyFont="1" applyFill="1" applyBorder="1" applyAlignment="1" applyProtection="1">
      <alignment horizontal="right"/>
      <protection locked="0"/>
    </xf>
    <xf numFmtId="10" fontId="0" fillId="0" borderId="30" xfId="0" applyNumberFormat="1" applyFill="1" applyBorder="1"/>
    <xf numFmtId="2" fontId="0" fillId="0" borderId="30" xfId="0" applyNumberFormat="1" applyFill="1" applyBorder="1"/>
    <xf numFmtId="0" fontId="0" fillId="0" borderId="51" xfId="0" applyFill="1" applyBorder="1"/>
    <xf numFmtId="0" fontId="0" fillId="0" borderId="50" xfId="0" applyFill="1" applyBorder="1"/>
    <xf numFmtId="0" fontId="0" fillId="0" borderId="52" xfId="0" applyFill="1" applyBorder="1"/>
    <xf numFmtId="10" fontId="0" fillId="0" borderId="51" xfId="0" applyNumberFormat="1" applyFill="1" applyBorder="1"/>
    <xf numFmtId="10" fontId="0" fillId="0" borderId="50" xfId="0" applyNumberFormat="1" applyFill="1" applyBorder="1"/>
    <xf numFmtId="2" fontId="0" fillId="0" borderId="51" xfId="0" applyNumberFormat="1" applyFill="1" applyBorder="1"/>
    <xf numFmtId="2" fontId="0" fillId="0" borderId="50" xfId="0" applyNumberFormat="1" applyFill="1" applyBorder="1"/>
    <xf numFmtId="2" fontId="5" fillId="0" borderId="19" xfId="0" applyNumberFormat="1" applyFont="1" applyFill="1" applyBorder="1" applyProtection="1">
      <protection locked="0"/>
    </xf>
    <xf numFmtId="2" fontId="5" fillId="0" borderId="19" xfId="0" applyNumberFormat="1" applyFont="1" applyFill="1" applyBorder="1"/>
    <xf numFmtId="2" fontId="5" fillId="0" borderId="19" xfId="0" applyNumberFormat="1" applyFont="1" applyFill="1" applyBorder="1" applyAlignment="1" applyProtection="1">
      <alignment horizontal="right" vertical="center"/>
      <protection locked="0"/>
    </xf>
    <xf numFmtId="2" fontId="98" fillId="0" borderId="19" xfId="0" applyNumberFormat="1" applyFont="1" applyFill="1" applyBorder="1"/>
    <xf numFmtId="2" fontId="5" fillId="0" borderId="19" xfId="0" applyNumberFormat="1" applyFont="1" applyFill="1" applyBorder="1" applyAlignment="1">
      <alignment horizontal="right"/>
    </xf>
    <xf numFmtId="1" fontId="5" fillId="0" borderId="19" xfId="0" applyNumberFormat="1" applyFont="1" applyFill="1" applyBorder="1"/>
    <xf numFmtId="2" fontId="5" fillId="0" borderId="19" xfId="0" applyNumberFormat="1" applyFont="1" applyFill="1" applyBorder="1" applyAlignment="1" applyProtection="1">
      <alignment horizontal="right"/>
      <protection locked="0"/>
    </xf>
    <xf numFmtId="2" fontId="5" fillId="0" borderId="4" xfId="0" applyNumberFormat="1" applyFont="1" applyFill="1" applyBorder="1"/>
    <xf numFmtId="2" fontId="5" fillId="0" borderId="7" xfId="0" applyNumberFormat="1" applyFont="1" applyFill="1" applyBorder="1"/>
    <xf numFmtId="2" fontId="5" fillId="0" borderId="19" xfId="0" applyNumberFormat="1" applyFont="1" applyFill="1" applyBorder="1" applyAlignment="1">
      <alignment wrapText="1"/>
    </xf>
    <xf numFmtId="2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33" xfId="0" applyFont="1" applyFill="1" applyBorder="1"/>
    <xf numFmtId="0" fontId="5" fillId="0" borderId="17" xfId="0" quotePrefix="1" applyFont="1" applyFill="1" applyBorder="1"/>
    <xf numFmtId="0" fontId="5" fillId="0" borderId="56" xfId="0" applyFont="1" applyFill="1" applyBorder="1"/>
    <xf numFmtId="0" fontId="0" fillId="0" borderId="0" xfId="0" applyBorder="1"/>
    <xf numFmtId="3" fontId="5" fillId="0" borderId="42" xfId="0" applyNumberFormat="1" applyFont="1" applyFill="1" applyBorder="1"/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10" fontId="0" fillId="0" borderId="53" xfId="0" applyNumberFormat="1" applyFill="1" applyBorder="1" applyAlignment="1">
      <alignment horizontal="center"/>
    </xf>
    <xf numFmtId="10" fontId="0" fillId="0" borderId="54" xfId="0" applyNumberFormat="1" applyFill="1" applyBorder="1" applyAlignment="1">
      <alignment horizontal="center"/>
    </xf>
    <xf numFmtId="10" fontId="0" fillId="0" borderId="55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2" fontId="0" fillId="0" borderId="55" xfId="0" applyNumberFormat="1" applyFill="1" applyBorder="1" applyAlignment="1">
      <alignment horizontal="center"/>
    </xf>
    <xf numFmtId="10" fontId="0" fillId="0" borderId="36" xfId="0" applyNumberFormat="1" applyFill="1" applyBorder="1" applyAlignment="1">
      <alignment horizontal="center"/>
    </xf>
    <xf numFmtId="10" fontId="0" fillId="0" borderId="34" xfId="0" applyNumberFormat="1" applyFill="1" applyBorder="1" applyAlignment="1">
      <alignment horizontal="center"/>
    </xf>
    <xf numFmtId="10" fontId="0" fillId="0" borderId="37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5" fillId="57" borderId="0" xfId="0" applyFont="1" applyFill="1"/>
    <xf numFmtId="0" fontId="0" fillId="57" borderId="0" xfId="0" applyFill="1"/>
  </cellXfs>
  <cellStyles count="1604">
    <cellStyle name="$/day" xfId="387"/>
    <cellStyle name="$/day 2" xfId="422"/>
    <cellStyle name="$/day 3" xfId="453"/>
    <cellStyle name="$/day 4" xfId="481"/>
    <cellStyle name="$/day 5" xfId="508"/>
    <cellStyle name="$/hr" xfId="388"/>
    <cellStyle name="$/hr 2" xfId="423"/>
    <cellStyle name="$/hr 3" xfId="454"/>
    <cellStyle name="$/hr 4" xfId="482"/>
    <cellStyle name="$/hr 5" xfId="509"/>
    <cellStyle name="$/m" xfId="389"/>
    <cellStyle name="$/m 2" xfId="424"/>
    <cellStyle name="$/m 3" xfId="455"/>
    <cellStyle name="$/m 4" xfId="483"/>
    <cellStyle name="$/m 5" xfId="510"/>
    <cellStyle name="20% - Accent1" xfId="21" builtinId="30" customBuiltin="1"/>
    <cellStyle name="20% - Accent1 2" xfId="48"/>
    <cellStyle name="20% - Accent1 2 2" xfId="788"/>
    <cellStyle name="20% - Accent1 2 2 2" xfId="1573"/>
    <cellStyle name="20% - Accent1 2 3" xfId="761"/>
    <cellStyle name="20% - Accent1 2 3 2" xfId="1461"/>
    <cellStyle name="20% - Accent1 3" xfId="49"/>
    <cellStyle name="20% - Accent1 3 2" xfId="677"/>
    <cellStyle name="20% - Accent1 3 2 2" xfId="1462"/>
    <cellStyle name="20% - Accent2" xfId="25" builtinId="34" customBuiltin="1"/>
    <cellStyle name="20% - Accent2 2" xfId="50"/>
    <cellStyle name="20% - Accent2 2 2" xfId="808"/>
    <cellStyle name="20% - Accent2 2 2 2" xfId="1575"/>
    <cellStyle name="20% - Accent2 2 3" xfId="708"/>
    <cellStyle name="20% - Accent2 2 3 2" xfId="1463"/>
    <cellStyle name="20% - Accent2 3" xfId="51"/>
    <cellStyle name="20% - Accent2 3 2" xfId="710"/>
    <cellStyle name="20% - Accent2 3 2 2" xfId="1464"/>
    <cellStyle name="20% - Accent3" xfId="29" builtinId="38" customBuiltin="1"/>
    <cellStyle name="20% - Accent3 2" xfId="52"/>
    <cellStyle name="20% - Accent3 2 2" xfId="762"/>
    <cellStyle name="20% - Accent3 2 2 2" xfId="1577"/>
    <cellStyle name="20% - Accent3 2 3" xfId="735"/>
    <cellStyle name="20% - Accent3 2 3 2" xfId="1465"/>
    <cellStyle name="20% - Accent3 3" xfId="53"/>
    <cellStyle name="20% - Accent3 3 2" xfId="789"/>
    <cellStyle name="20% - Accent3 3 2 2" xfId="1466"/>
    <cellStyle name="20% - Accent4" xfId="33" builtinId="42" customBuiltin="1"/>
    <cellStyle name="20% - Accent4 2" xfId="54"/>
    <cellStyle name="20% - Accent4 2 2" xfId="709"/>
    <cellStyle name="20% - Accent4 2 2 2" xfId="1579"/>
    <cellStyle name="20% - Accent4 2 3" xfId="678"/>
    <cellStyle name="20% - Accent4 2 3 2" xfId="1467"/>
    <cellStyle name="20% - Accent4 3" xfId="55"/>
    <cellStyle name="20% - Accent4 3 2" xfId="679"/>
    <cellStyle name="20% - Accent4 3 2 2" xfId="1468"/>
    <cellStyle name="20% - Accent5" xfId="37" builtinId="46" customBuiltin="1"/>
    <cellStyle name="20% - Accent5 2" xfId="56"/>
    <cellStyle name="20% - Accent5 2 2" xfId="190"/>
    <cellStyle name="20% - Accent5 2 2 2" xfId="1581"/>
    <cellStyle name="20% - Accent5 2 3" xfId="594"/>
    <cellStyle name="20% - Accent5 2 3 2" xfId="1469"/>
    <cellStyle name="20% - Accent5 3" xfId="57"/>
    <cellStyle name="20% - Accent5 3 2" xfId="736"/>
    <cellStyle name="20% - Accent5 3 2 2" xfId="1470"/>
    <cellStyle name="20% - Accent6" xfId="41" builtinId="50" customBuiltin="1"/>
    <cellStyle name="20% - Accent6 2" xfId="58"/>
    <cellStyle name="20% - Accent6 2 2" xfId="790"/>
    <cellStyle name="20% - Accent6 2 2 2" xfId="1583"/>
    <cellStyle name="20% - Accent6 2 3" xfId="763"/>
    <cellStyle name="20% - Accent6 2 3 2" xfId="1471"/>
    <cellStyle name="20% - Accent6 3" xfId="59"/>
    <cellStyle name="20% - Accent6 3 2" xfId="163"/>
    <cellStyle name="20% - Accent6 3 2 2" xfId="1472"/>
    <cellStyle name="40% - Accent1" xfId="22" builtinId="31" customBuiltin="1"/>
    <cellStyle name="40% - Accent1 2" xfId="60"/>
    <cellStyle name="40% - Accent1 2 2" xfId="711"/>
    <cellStyle name="40% - Accent1 2 2 2" xfId="1574"/>
    <cellStyle name="40% - Accent1 2 3" xfId="680"/>
    <cellStyle name="40% - Accent1 2 3 2" xfId="1473"/>
    <cellStyle name="40% - Accent1 3" xfId="61"/>
    <cellStyle name="40% - Accent1 3 2" xfId="599"/>
    <cellStyle name="40% - Accent1 3 2 2" xfId="1474"/>
    <cellStyle name="40% - Accent2" xfId="26" builtinId="35" customBuiltin="1"/>
    <cellStyle name="40% - Accent2 2" xfId="62"/>
    <cellStyle name="40% - Accent2 2 2" xfId="737"/>
    <cellStyle name="40% - Accent2 2 2 2" xfId="1576"/>
    <cellStyle name="40% - Accent2 2 3" xfId="765"/>
    <cellStyle name="40% - Accent2 2 3 2" xfId="1475"/>
    <cellStyle name="40% - Accent2 3" xfId="63"/>
    <cellStyle name="40% - Accent2 3 2" xfId="764"/>
    <cellStyle name="40% - Accent2 3 2 2" xfId="1476"/>
    <cellStyle name="40% - Accent3" xfId="30" builtinId="39" customBuiltin="1"/>
    <cellStyle name="40% - Accent3 2" xfId="64"/>
    <cellStyle name="40% - Accent3 2 2" xfId="681"/>
    <cellStyle name="40% - Accent3 2 2 2" xfId="1578"/>
    <cellStyle name="40% - Accent3 2 3" xfId="791"/>
    <cellStyle name="40% - Accent3 2 3 2" xfId="1477"/>
    <cellStyle name="40% - Accent3 3" xfId="65"/>
    <cellStyle name="40% - Accent3 3 2" xfId="712"/>
    <cellStyle name="40% - Accent3 3 2 2" xfId="1478"/>
    <cellStyle name="40% - Accent4" xfId="34" builtinId="43" customBuiltin="1"/>
    <cellStyle name="40% - Accent4 2" xfId="66"/>
    <cellStyle name="40% - Accent4 2 2" xfId="600"/>
    <cellStyle name="40% - Accent4 2 2 2" xfId="1580"/>
    <cellStyle name="40% - Accent4 2 3" xfId="738"/>
    <cellStyle name="40% - Accent4 2 3 2" xfId="1479"/>
    <cellStyle name="40% - Accent4 3" xfId="67"/>
    <cellStyle name="40% - Accent4 3 2" xfId="601"/>
    <cellStyle name="40% - Accent4 3 2 2" xfId="1480"/>
    <cellStyle name="40% - Accent5" xfId="38" builtinId="47" customBuiltin="1"/>
    <cellStyle name="40% - Accent5 2" xfId="68"/>
    <cellStyle name="40% - Accent5 2 2" xfId="682"/>
    <cellStyle name="40% - Accent5 2 2 2" xfId="1582"/>
    <cellStyle name="40% - Accent5 2 3" xfId="792"/>
    <cellStyle name="40% - Accent5 2 3 2" xfId="1481"/>
    <cellStyle name="40% - Accent5 3" xfId="69"/>
    <cellStyle name="40% - Accent5 3 2" xfId="740"/>
    <cellStyle name="40% - Accent5 3 2 2" xfId="1482"/>
    <cellStyle name="40% - Accent6" xfId="42" builtinId="51" customBuiltin="1"/>
    <cellStyle name="40% - Accent6 2" xfId="70"/>
    <cellStyle name="40% - Accent6 2 2" xfId="713"/>
    <cellStyle name="40% - Accent6 2 2 2" xfId="1584"/>
    <cellStyle name="40% - Accent6 2 3" xfId="693"/>
    <cellStyle name="40% - Accent6 2 3 2" xfId="1483"/>
    <cellStyle name="40% - Accent6 3" xfId="71"/>
    <cellStyle name="40% - Accent6 3 2" xfId="739"/>
    <cellStyle name="40% - Accent6 3 2 2" xfId="1484"/>
    <cellStyle name="60% - Accent1" xfId="23" builtinId="32" customBuiltin="1"/>
    <cellStyle name="60% - Accent1 2" xfId="72"/>
    <cellStyle name="60% - Accent1 2 2" xfId="793"/>
    <cellStyle name="60% - Accent1 2 3" xfId="766"/>
    <cellStyle name="60% - Accent1 2 3 2" xfId="1485"/>
    <cellStyle name="60% - Accent1 3" xfId="683"/>
    <cellStyle name="60% - Accent2" xfId="27" builtinId="36" customBuiltin="1"/>
    <cellStyle name="60% - Accent2 2" xfId="73"/>
    <cellStyle name="60% - Accent2 2 2" xfId="602"/>
    <cellStyle name="60% - Accent2 2 3" xfId="714"/>
    <cellStyle name="60% - Accent2 2 3 2" xfId="1486"/>
    <cellStyle name="60% - Accent2 3" xfId="767"/>
    <cellStyle name="60% - Accent3" xfId="31" builtinId="40" customBuiltin="1"/>
    <cellStyle name="60% - Accent3 2" xfId="74"/>
    <cellStyle name="60% - Accent3 2 2" xfId="684"/>
    <cellStyle name="60% - Accent3 2 3" xfId="794"/>
    <cellStyle name="60% - Accent3 2 3 2" xfId="1487"/>
    <cellStyle name="60% - Accent3 3" xfId="715"/>
    <cellStyle name="60% - Accent4" xfId="35" builtinId="44" customBuiltin="1"/>
    <cellStyle name="60% - Accent4 2" xfId="75"/>
    <cellStyle name="60% - Accent4 2 2" xfId="768"/>
    <cellStyle name="60% - Accent4 2 3" xfId="741"/>
    <cellStyle name="60% - Accent4 2 3 2" xfId="1488"/>
    <cellStyle name="60% - Accent4 3" xfId="795"/>
    <cellStyle name="60% - Accent5" xfId="39" builtinId="48" customBuiltin="1"/>
    <cellStyle name="60% - Accent5 2" xfId="76"/>
    <cellStyle name="60% - Accent5 2 2" xfId="716"/>
    <cellStyle name="60% - Accent5 2 3" xfId="685"/>
    <cellStyle name="60% - Accent5 2 3 2" xfId="1489"/>
    <cellStyle name="60% - Accent5 3" xfId="742"/>
    <cellStyle name="60% - Accent6" xfId="43" builtinId="52" customBuiltin="1"/>
    <cellStyle name="60% - Accent6 2" xfId="77"/>
    <cellStyle name="60% - Accent6 2 2" xfId="796"/>
    <cellStyle name="60% - Accent6 2 3" xfId="769"/>
    <cellStyle name="60% - Accent6 2 3 2" xfId="1490"/>
    <cellStyle name="60% - Accent6 3" xfId="686"/>
    <cellStyle name="Accent1" xfId="20" builtinId="29" customBuiltin="1"/>
    <cellStyle name="Accent1 2" xfId="78"/>
    <cellStyle name="Accent1 2 2" xfId="717"/>
    <cellStyle name="Accent1 2 3" xfId="270"/>
    <cellStyle name="Accent1 2 3 2" xfId="1491"/>
    <cellStyle name="Accent1 3" xfId="743"/>
    <cellStyle name="Accent2" xfId="24" builtinId="33" customBuiltin="1"/>
    <cellStyle name="Accent2 2" xfId="79"/>
    <cellStyle name="Accent2 2 2" xfId="797"/>
    <cellStyle name="Accent2 2 3" xfId="770"/>
    <cellStyle name="Accent2 2 3 2" xfId="1492"/>
    <cellStyle name="Accent2 3" xfId="687"/>
    <cellStyle name="Accent3" xfId="28" builtinId="37" customBuiltin="1"/>
    <cellStyle name="Accent3 2" xfId="80"/>
    <cellStyle name="Accent3 2 2" xfId="744"/>
    <cellStyle name="Accent3 2 3" xfId="718"/>
    <cellStyle name="Accent3 2 4" xfId="1493"/>
    <cellStyle name="Accent3 2 5" xfId="1360"/>
    <cellStyle name="Accent3 3" xfId="771"/>
    <cellStyle name="Accent3 3 2" xfId="1429"/>
    <cellStyle name="Accent3 3 3" xfId="1355"/>
    <cellStyle name="Accent4" xfId="32" builtinId="41" customBuiltin="1"/>
    <cellStyle name="Accent4 2" xfId="81"/>
    <cellStyle name="Accent4 2 2" xfId="688"/>
    <cellStyle name="Accent4 2 3" xfId="798"/>
    <cellStyle name="Accent4 2 3 2" xfId="1494"/>
    <cellStyle name="Accent4 3" xfId="719"/>
    <cellStyle name="Accent5" xfId="36" builtinId="45" customBuiltin="1"/>
    <cellStyle name="Accent5 2" xfId="82"/>
    <cellStyle name="Accent5 2 2" xfId="603"/>
    <cellStyle name="Accent5 2 3" xfId="547"/>
    <cellStyle name="Accent5 2 3 2" xfId="1495"/>
    <cellStyle name="Accent5 3" xfId="556"/>
    <cellStyle name="Accent6" xfId="40" builtinId="49" customBuiltin="1"/>
    <cellStyle name="Accent6 2" xfId="83"/>
    <cellStyle name="Accent6 2 2" xfId="658"/>
    <cellStyle name="Accent6 2 3" xfId="774"/>
    <cellStyle name="Accent6 2 4" xfId="1496"/>
    <cellStyle name="Accent6 2 5" xfId="1361"/>
    <cellStyle name="Accent6 3" xfId="201"/>
    <cellStyle name="Accent6 3 2" xfId="1430"/>
    <cellStyle name="Accent6 3 3" xfId="1356"/>
    <cellStyle name="Bad" xfId="9" builtinId="27" customBuiltin="1"/>
    <cellStyle name="Bad 2" xfId="84"/>
    <cellStyle name="Bad 2 2" xfId="555"/>
    <cellStyle name="Bad 2 3" xfId="166"/>
    <cellStyle name="Bad 2 3 2" xfId="1497"/>
    <cellStyle name="Bad 2 4" xfId="1603"/>
    <cellStyle name="Bad 3" xfId="85"/>
    <cellStyle name="Bad 3 2" xfId="604"/>
    <cellStyle name="Bad 3 2 2" xfId="1498"/>
    <cellStyle name="Calculation" xfId="13" builtinId="22" customBuiltin="1"/>
    <cellStyle name="Calculation 2" xfId="86"/>
    <cellStyle name="Calculation 2 2" xfId="87"/>
    <cellStyle name="Calculation 2 2 2" xfId="1165"/>
    <cellStyle name="Calculation 2 2 2 2" xfId="1276"/>
    <cellStyle name="Calculation 2 2 3" xfId="1206"/>
    <cellStyle name="Calculation 2 2 3 2" xfId="1259"/>
    <cellStyle name="Calculation 2 2 4" xfId="1217"/>
    <cellStyle name="Calculation 2 2 4 2" xfId="1335"/>
    <cellStyle name="Calculation 2 2 5" xfId="1226"/>
    <cellStyle name="Calculation 2 2 5 2" xfId="1336"/>
    <cellStyle name="Calculation 2 2 6" xfId="1167"/>
    <cellStyle name="Calculation 2 2 6 2" xfId="1274"/>
    <cellStyle name="Calculation 2 2 7" xfId="1288"/>
    <cellStyle name="Calculation 2 2 8" xfId="557"/>
    <cellStyle name="Calculation 2 2 8 2" xfId="1499"/>
    <cellStyle name="Calculation 2 3" xfId="1164"/>
    <cellStyle name="Calculation 2 3 2" xfId="1277"/>
    <cellStyle name="Calculation 2 4" xfId="1178"/>
    <cellStyle name="Calculation 2 4 2" xfId="1266"/>
    <cellStyle name="Calculation 2 5" xfId="1237"/>
    <cellStyle name="Calculation 2 5 2" xfId="1340"/>
    <cellStyle name="Calculation 2 6" xfId="1185"/>
    <cellStyle name="Calculation 2 6 2" xfId="1263"/>
    <cellStyle name="Calculation 2 7" xfId="1238"/>
    <cellStyle name="Calculation 2 7 2" xfId="1341"/>
    <cellStyle name="Calculation 2 8" xfId="1290"/>
    <cellStyle name="Calculation 2 9" xfId="694"/>
    <cellStyle name="Calculation 3" xfId="558"/>
    <cellStyle name="Calculation 3 2" xfId="1166"/>
    <cellStyle name="Calculation 3 2 2" xfId="1275"/>
    <cellStyle name="Calculation 3 3" xfId="1213"/>
    <cellStyle name="Calculation 3 3 2" xfId="1334"/>
    <cellStyle name="Calculation 3 4" xfId="1172"/>
    <cellStyle name="Calculation 3 4 2" xfId="1272"/>
    <cellStyle name="Calculation 3 5" xfId="1240"/>
    <cellStyle name="Calculation 3 5 2" xfId="1342"/>
    <cellStyle name="Calculation 3 6" xfId="1179"/>
    <cellStyle name="Calculation 3 6 2" xfId="1265"/>
    <cellStyle name="Calculation 3 7" xfId="1286"/>
    <cellStyle name="Check Cell" xfId="15" builtinId="23" customBuiltin="1"/>
    <cellStyle name="Check Cell 2" xfId="88"/>
    <cellStyle name="Check Cell 2 2" xfId="548"/>
    <cellStyle name="Check Cell 2 3" xfId="559"/>
    <cellStyle name="Check Cell 2 3 2" xfId="1500"/>
    <cellStyle name="Check Cell 3" xfId="605"/>
    <cellStyle name="Comma" xfId="2" builtinId="3"/>
    <cellStyle name="Comma 10" xfId="674"/>
    <cellStyle name="Comma 10 2" xfId="668"/>
    <cellStyle name="Comma 10 2 2" xfId="646"/>
    <cellStyle name="Comma 10 2 2 2" xfId="875"/>
    <cellStyle name="Comma 10 2 2 2 2" xfId="1102"/>
    <cellStyle name="Comma 10 2 2 3" xfId="989"/>
    <cellStyle name="Comma 10 2 3" xfId="773"/>
    <cellStyle name="Comma 10 2 3 2" xfId="912"/>
    <cellStyle name="Comma 10 2 3 2 2" xfId="1139"/>
    <cellStyle name="Comma 10 2 3 3" xfId="1026"/>
    <cellStyle name="Comma 10 2 4" xfId="838"/>
    <cellStyle name="Comma 10 2 4 2" xfId="1065"/>
    <cellStyle name="Comma 10 2 5" xfId="952"/>
    <cellStyle name="Comma 10 3" xfId="1595"/>
    <cellStyle name="Comma 11" xfId="696"/>
    <cellStyle name="Comma 12" xfId="759"/>
    <cellStyle name="Comma 12 2" xfId="647"/>
    <cellStyle name="Comma 12 2 2" xfId="876"/>
    <cellStyle name="Comma 12 2 2 2" xfId="1103"/>
    <cellStyle name="Comma 12 2 3" xfId="990"/>
    <cellStyle name="Comma 12 3" xfId="244"/>
    <cellStyle name="Comma 12 3 2" xfId="913"/>
    <cellStyle name="Comma 12 3 2 2" xfId="1140"/>
    <cellStyle name="Comma 12 3 3" xfId="1027"/>
    <cellStyle name="Comma 12 4" xfId="839"/>
    <cellStyle name="Comma 12 4 2" xfId="1066"/>
    <cellStyle name="Comma 12 5" xfId="953"/>
    <cellStyle name="Comma 13" xfId="247"/>
    <cellStyle name="Comma 13 2" xfId="648"/>
    <cellStyle name="Comma 13 2 2" xfId="877"/>
    <cellStyle name="Comma 13 2 2 2" xfId="1104"/>
    <cellStyle name="Comma 13 2 3" xfId="991"/>
    <cellStyle name="Comma 13 3" xfId="550"/>
    <cellStyle name="Comma 13 3 2" xfId="914"/>
    <cellStyle name="Comma 13 3 2 2" xfId="1141"/>
    <cellStyle name="Comma 13 3 3" xfId="1028"/>
    <cellStyle name="Comma 13 4" xfId="840"/>
    <cellStyle name="Comma 13 4 2" xfId="1067"/>
    <cellStyle name="Comma 13 5" xfId="954"/>
    <cellStyle name="Comma 14" xfId="1246"/>
    <cellStyle name="Comma 14 2" xfId="1255"/>
    <cellStyle name="Comma 15" xfId="1257"/>
    <cellStyle name="Comma 2" xfId="46"/>
    <cellStyle name="Comma 2 2" xfId="89"/>
    <cellStyle name="Comma 2 2 2" xfId="160"/>
    <cellStyle name="Comma 2 2 2 2" xfId="1391"/>
    <cellStyle name="Comma 2 2 2 3" xfId="1390"/>
    <cellStyle name="Comma 2 2 2 4" xfId="1565"/>
    <cellStyle name="Comma 2 2 3" xfId="164"/>
    <cellStyle name="Comma 2 2 4" xfId="1458"/>
    <cellStyle name="Comma 2 3" xfId="90"/>
    <cellStyle name="Comma 2 3 2" xfId="552"/>
    <cellStyle name="Comma 2 3 2 2" xfId="1392"/>
    <cellStyle name="Comma 2 3 2 3" xfId="1587"/>
    <cellStyle name="Comma 2 3 3" xfId="1411"/>
    <cellStyle name="Comma 2 3 3 2" xfId="1555"/>
    <cellStyle name="Comma 2 3 4" xfId="1456"/>
    <cellStyle name="Comma 2 3 5" xfId="1358"/>
    <cellStyle name="Comma 2 3 6" xfId="1601"/>
    <cellStyle name="Comma 2 4" xfId="91"/>
    <cellStyle name="Comma 2 4 2" xfId="1501"/>
    <cellStyle name="Comma 2 4 3" xfId="1381"/>
    <cellStyle name="Comma 2 5" xfId="92"/>
    <cellStyle name="Comma 2 5 2" xfId="1502"/>
    <cellStyle name="Comma 2 5 3" xfId="1354"/>
    <cellStyle name="Comma 2 6" xfId="93"/>
    <cellStyle name="Comma 2 6 2" xfId="1503"/>
    <cellStyle name="Comma 2 6 3" xfId="1347"/>
    <cellStyle name="Comma 2 7" xfId="274"/>
    <cellStyle name="Comma 2_Rates project" xfId="200"/>
    <cellStyle name="Comma 3" xfId="94"/>
    <cellStyle name="Comma 3 2" xfId="275"/>
    <cellStyle name="Comma 3 2 2" xfId="606"/>
    <cellStyle name="Comma 3 3" xfId="227"/>
    <cellStyle name="Comma 3 3 2" xfId="1434"/>
    <cellStyle name="Comma 3 3 3" xfId="1369"/>
    <cellStyle name="Comma 3 4" xfId="222"/>
    <cellStyle name="Comma 3 4 2" xfId="1365"/>
    <cellStyle name="Comma 3 5" xfId="1599"/>
    <cellStyle name="Comma 4" xfId="95"/>
    <cellStyle name="Comma 4 2" xfId="96"/>
    <cellStyle name="Comma 4 2 2" xfId="1418"/>
    <cellStyle name="Comma 4 2 3" xfId="1504"/>
    <cellStyle name="Comma 4 2 4" xfId="1370"/>
    <cellStyle name="Comma 4 3" xfId="1364"/>
    <cellStyle name="Comma 4 3 2" xfId="1419"/>
    <cellStyle name="Comma 4 4" xfId="1454"/>
    <cellStyle name="Comma 4 5" xfId="1597"/>
    <cellStyle name="Comma 5" xfId="97"/>
    <cellStyle name="Comma 5 10" xfId="1371"/>
    <cellStyle name="Comma 5 2" xfId="545"/>
    <cellStyle name="Comma 5 2 2" xfId="607"/>
    <cellStyle name="Comma 5 3" xfId="705"/>
    <cellStyle name="Comma 5 3 2" xfId="641"/>
    <cellStyle name="Comma 5 3 2 2" xfId="867"/>
    <cellStyle name="Comma 5 3 2 2 2" xfId="1094"/>
    <cellStyle name="Comma 5 3 2 3" xfId="981"/>
    <cellStyle name="Comma 5 3 3" xfId="690"/>
    <cellStyle name="Comma 5 3 3 2" xfId="904"/>
    <cellStyle name="Comma 5 3 3 2 2" xfId="1131"/>
    <cellStyle name="Comma 5 3 3 3" xfId="1018"/>
    <cellStyle name="Comma 5 3 4" xfId="830"/>
    <cellStyle name="Comma 5 3 4 2" xfId="1057"/>
    <cellStyle name="Comma 5 3 5" xfId="944"/>
    <cellStyle name="Comma 5 4" xfId="695"/>
    <cellStyle name="Comma 5 4 2" xfId="649"/>
    <cellStyle name="Comma 5 4 2 2" xfId="878"/>
    <cellStyle name="Comma 5 4 2 2 2" xfId="1105"/>
    <cellStyle name="Comma 5 4 2 3" xfId="992"/>
    <cellStyle name="Comma 5 4 3" xfId="777"/>
    <cellStyle name="Comma 5 4 3 2" xfId="915"/>
    <cellStyle name="Comma 5 4 3 2 2" xfId="1142"/>
    <cellStyle name="Comma 5 4 3 3" xfId="1029"/>
    <cellStyle name="Comma 5 4 4" xfId="841"/>
    <cellStyle name="Comma 5 4 4 2" xfId="1068"/>
    <cellStyle name="Comma 5 4 5" xfId="955"/>
    <cellStyle name="Comma 5 5" xfId="637"/>
    <cellStyle name="Comma 5 5 2" xfId="859"/>
    <cellStyle name="Comma 5 5 2 2" xfId="1086"/>
    <cellStyle name="Comma 5 5 3" xfId="973"/>
    <cellStyle name="Comma 5 6" xfId="177"/>
    <cellStyle name="Comma 5 6 2" xfId="896"/>
    <cellStyle name="Comma 5 6 2 2" xfId="1123"/>
    <cellStyle name="Comma 5 6 3" xfId="1010"/>
    <cellStyle name="Comma 5 7" xfId="822"/>
    <cellStyle name="Comma 5 7 2" xfId="1049"/>
    <cellStyle name="Comma 5 8" xfId="936"/>
    <cellStyle name="Comma 5 9" xfId="1431"/>
    <cellStyle name="Comma 6" xfId="98"/>
    <cellStyle name="Comma 6 2" xfId="99"/>
    <cellStyle name="Comma 6 2 2" xfId="560"/>
    <cellStyle name="Comma 6 2 2 2" xfId="1505"/>
    <cellStyle name="Comma 6 3" xfId="622"/>
    <cellStyle name="Comma 6 3 2" xfId="642"/>
    <cellStyle name="Comma 6 3 2 2" xfId="868"/>
    <cellStyle name="Comma 6 3 2 2 2" xfId="1095"/>
    <cellStyle name="Comma 6 3 2 3" xfId="982"/>
    <cellStyle name="Comma 6 3 3" xfId="720"/>
    <cellStyle name="Comma 6 3 3 2" xfId="905"/>
    <cellStyle name="Comma 6 3 3 2 2" xfId="1132"/>
    <cellStyle name="Comma 6 3 3 3" xfId="1019"/>
    <cellStyle name="Comma 6 3 4" xfId="831"/>
    <cellStyle name="Comma 6 3 4 2" xfId="1058"/>
    <cellStyle name="Comma 6 3 5" xfId="945"/>
    <cellStyle name="Comma 6 4" xfId="699"/>
    <cellStyle name="Comma 6 4 2" xfId="650"/>
    <cellStyle name="Comma 6 4 2 2" xfId="879"/>
    <cellStyle name="Comma 6 4 2 2 2" xfId="1106"/>
    <cellStyle name="Comma 6 4 2 3" xfId="993"/>
    <cellStyle name="Comma 6 4 3" xfId="265"/>
    <cellStyle name="Comma 6 4 3 2" xfId="916"/>
    <cellStyle name="Comma 6 4 3 2 2" xfId="1143"/>
    <cellStyle name="Comma 6 4 3 3" xfId="1030"/>
    <cellStyle name="Comma 6 4 4" xfId="842"/>
    <cellStyle name="Comma 6 4 4 2" xfId="1069"/>
    <cellStyle name="Comma 6 4 5" xfId="956"/>
    <cellStyle name="Comma 6 5" xfId="632"/>
    <cellStyle name="Comma 6 5 2" xfId="860"/>
    <cellStyle name="Comma 6 5 2 2" xfId="1087"/>
    <cellStyle name="Comma 6 5 3" xfId="974"/>
    <cellStyle name="Comma 6 6" xfId="689"/>
    <cellStyle name="Comma 6 6 2" xfId="897"/>
    <cellStyle name="Comma 6 6 2 2" xfId="1124"/>
    <cellStyle name="Comma 6 6 3" xfId="1011"/>
    <cellStyle name="Comma 6 7" xfId="823"/>
    <cellStyle name="Comma 6 7 2" xfId="1050"/>
    <cellStyle name="Comma 6 8" xfId="937"/>
    <cellStyle name="Comma 6 9" xfId="608"/>
    <cellStyle name="Comma 7" xfId="100"/>
    <cellStyle name="Comma 7 2" xfId="775"/>
    <cellStyle name="Comma 7 2 2" xfId="1569"/>
    <cellStyle name="Comma 7 3" xfId="1506"/>
    <cellStyle name="Comma 7 4" xfId="1372"/>
    <cellStyle name="Comma 8" xfId="101"/>
    <cellStyle name="Comma 8 2" xfId="170"/>
    <cellStyle name="Comma 8 3" xfId="1507"/>
    <cellStyle name="Comma 8 4" xfId="1368"/>
    <cellStyle name="Comma 9" xfId="102"/>
    <cellStyle name="Comma 9 2" xfId="786"/>
    <cellStyle name="Comma 9 3" xfId="621"/>
    <cellStyle name="Comma 9 3 2" xfId="1508"/>
    <cellStyle name="Currency 2" xfId="103"/>
    <cellStyle name="Currency 2 10" xfId="1509"/>
    <cellStyle name="Currency 2 2" xfId="104"/>
    <cellStyle name="Currency 2 2 2" xfId="643"/>
    <cellStyle name="Currency 2 2 2 2" xfId="869"/>
    <cellStyle name="Currency 2 2 2 2 2" xfId="1096"/>
    <cellStyle name="Currency 2 2 2 3" xfId="983"/>
    <cellStyle name="Currency 2 2 2 4" xfId="1439"/>
    <cellStyle name="Currency 2 2 2 5" xfId="1420"/>
    <cellStyle name="Currency 2 2 3" xfId="745"/>
    <cellStyle name="Currency 2 2 3 2" xfId="906"/>
    <cellStyle name="Currency 2 2 3 2 2" xfId="1133"/>
    <cellStyle name="Currency 2 2 3 3" xfId="1020"/>
    <cellStyle name="Currency 2 2 4" xfId="832"/>
    <cellStyle name="Currency 2 2 4 2" xfId="1059"/>
    <cellStyle name="Currency 2 2 5" xfId="946"/>
    <cellStyle name="Currency 2 2 6" xfId="732"/>
    <cellStyle name="Currency 2 3" xfId="480"/>
    <cellStyle name="Currency 2 3 2" xfId="644"/>
    <cellStyle name="Currency 2 3 2 2" xfId="880"/>
    <cellStyle name="Currency 2 3 2 2 2" xfId="1107"/>
    <cellStyle name="Currency 2 3 2 3" xfId="994"/>
    <cellStyle name="Currency 2 3 3" xfId="760"/>
    <cellStyle name="Currency 2 3 3 2" xfId="917"/>
    <cellStyle name="Currency 2 3 3 2 2" xfId="1144"/>
    <cellStyle name="Currency 2 3 3 3" xfId="1031"/>
    <cellStyle name="Currency 2 3 4" xfId="843"/>
    <cellStyle name="Currency 2 3 4 2" xfId="1070"/>
    <cellStyle name="Currency 2 3 5" xfId="957"/>
    <cellStyle name="Currency 2 3 6" xfId="627"/>
    <cellStyle name="Currency 2 4" xfId="186"/>
    <cellStyle name="Currency 2 4 2" xfId="861"/>
    <cellStyle name="Currency 2 4 2 2" xfId="1088"/>
    <cellStyle name="Currency 2 4 3" xfId="975"/>
    <cellStyle name="Currency 2 4 4" xfId="1437"/>
    <cellStyle name="Currency 2 4 5" xfId="1413"/>
    <cellStyle name="Currency 2 5" xfId="176"/>
    <cellStyle name="Currency 2 5 2" xfId="898"/>
    <cellStyle name="Currency 2 5 2 2" xfId="1125"/>
    <cellStyle name="Currency 2 5 3" xfId="1012"/>
    <cellStyle name="Currency 2 6" xfId="824"/>
    <cellStyle name="Currency 2 6 2" xfId="1051"/>
    <cellStyle name="Currency 2 7" xfId="938"/>
    <cellStyle name="Currency 2 8" xfId="609"/>
    <cellStyle name="Currency 2 9" xfId="1451"/>
    <cellStyle name="Currency 3" xfId="105"/>
    <cellStyle name="Currency 3 2" xfId="183"/>
    <cellStyle name="Currency 3 2 2" xfId="881"/>
    <cellStyle name="Currency 3 2 2 2" xfId="1108"/>
    <cellStyle name="Currency 3 2 2 3" xfId="1448"/>
    <cellStyle name="Currency 3 2 2 4" xfId="1421"/>
    <cellStyle name="Currency 3 2 3" xfId="995"/>
    <cellStyle name="Currency 3 2 4" xfId="1441"/>
    <cellStyle name="Currency 3 2 5" xfId="1417"/>
    <cellStyle name="Currency 3 3" xfId="243"/>
    <cellStyle name="Currency 3 3 2" xfId="918"/>
    <cellStyle name="Currency 3 3 2 2" xfId="1145"/>
    <cellStyle name="Currency 3 3 3" xfId="1032"/>
    <cellStyle name="Currency 3 3 4" xfId="1445"/>
    <cellStyle name="Currency 3 3 5" xfId="1422"/>
    <cellStyle name="Currency 3 4" xfId="844"/>
    <cellStyle name="Currency 3 4 2" xfId="1071"/>
    <cellStyle name="Currency 3 4 3" xfId="1447"/>
    <cellStyle name="Currency 3 4 4" xfId="1416"/>
    <cellStyle name="Currency 3 5" xfId="958"/>
    <cellStyle name="Currency 3 6" xfId="246"/>
    <cellStyle name="Currency 4" xfId="106"/>
    <cellStyle name="Currency 4 2" xfId="651"/>
    <cellStyle name="Currency 4 2 2" xfId="882"/>
    <cellStyle name="Currency 4 2 2 2" xfId="1109"/>
    <cellStyle name="Currency 4 2 3" xfId="996"/>
    <cellStyle name="Currency 4 2 4" xfId="1442"/>
    <cellStyle name="Currency 4 2 5" xfId="1424"/>
    <cellStyle name="Currency 4 3" xfId="224"/>
    <cellStyle name="Currency 4 3 2" xfId="919"/>
    <cellStyle name="Currency 4 3 2 2" xfId="1146"/>
    <cellStyle name="Currency 4 3 3" xfId="1033"/>
    <cellStyle name="Currency 4 3 4" xfId="1446"/>
    <cellStyle name="Currency 4 3 5" xfId="1423"/>
    <cellStyle name="Currency 4 4" xfId="845"/>
    <cellStyle name="Currency 4 4 2" xfId="1072"/>
    <cellStyle name="Currency 4 5" xfId="959"/>
    <cellStyle name="Currency 4 6" xfId="226"/>
    <cellStyle name="Currency 5" xfId="107"/>
    <cellStyle name="Currency 6" xfId="108"/>
    <cellStyle name="Currency 7" xfId="109"/>
    <cellStyle name="Currency 7 2" xfId="1570"/>
    <cellStyle name="Currency 8" xfId="110"/>
    <cellStyle name="Currency 9" xfId="111"/>
    <cellStyle name="Date" xfId="390"/>
    <cellStyle name="Date [ham]" xfId="391"/>
    <cellStyle name="Date [ham] 2" xfId="426"/>
    <cellStyle name="Date 2" xfId="425"/>
    <cellStyle name="Date 3" xfId="456"/>
    <cellStyle name="Date 4" xfId="484"/>
    <cellStyle name="Date 5" xfId="511"/>
    <cellStyle name="days" xfId="392"/>
    <cellStyle name="days 2" xfId="427"/>
    <cellStyle name="days 3" xfId="457"/>
    <cellStyle name="days 4" xfId="485"/>
    <cellStyle name="days 5" xfId="512"/>
    <cellStyle name="Explanatory Text" xfId="18" builtinId="53" customBuiltin="1"/>
    <cellStyle name="Explanatory Text 2" xfId="112"/>
    <cellStyle name="Explanatory Text 2 2" xfId="802"/>
    <cellStyle name="Explanatory Text 2 3" xfId="561"/>
    <cellStyle name="Explanatory Text 2 3 2" xfId="1510"/>
    <cellStyle name="Explanatory Text 3" xfId="810"/>
    <cellStyle name="GL" xfId="393"/>
    <cellStyle name="GL 2" xfId="428"/>
    <cellStyle name="GL 3" xfId="458"/>
    <cellStyle name="GL 4" xfId="486"/>
    <cellStyle name="GL 5" xfId="513"/>
    <cellStyle name="GL/y" xfId="394"/>
    <cellStyle name="GL/y 2" xfId="429"/>
    <cellStyle name="GL/y 3" xfId="459"/>
    <cellStyle name="GL/y 4" xfId="487"/>
    <cellStyle name="GL/y 5" xfId="514"/>
    <cellStyle name="Good" xfId="8" builtinId="26" customBuiltin="1"/>
    <cellStyle name="Good 2" xfId="113"/>
    <cellStyle name="Good 2 2" xfId="114"/>
    <cellStyle name="Good 2 2 2" xfId="268"/>
    <cellStyle name="Good 2 2 2 2" xfId="1511"/>
    <cellStyle name="Good 2 3" xfId="812"/>
    <cellStyle name="Good 3" xfId="563"/>
    <cellStyle name="Heading" xfId="115"/>
    <cellStyle name="Heading 1" xfId="4" builtinId="16" customBuiltin="1"/>
    <cellStyle name="Heading 1 2" xfId="116"/>
    <cellStyle name="Heading 1 2 2" xfId="395"/>
    <cellStyle name="Heading 1 2 2 2" xfId="805"/>
    <cellStyle name="Heading 1 2 3" xfId="564"/>
    <cellStyle name="Heading 1 2 4" xfId="1557"/>
    <cellStyle name="Heading 1 3" xfId="562"/>
    <cellStyle name="Heading 2" xfId="5" builtinId="17" customBuiltin="1"/>
    <cellStyle name="Heading 2 2" xfId="117"/>
    <cellStyle name="Heading 2 2 2" xfId="396"/>
    <cellStyle name="Heading 2 2 2 2" xfId="610"/>
    <cellStyle name="Heading 2 2 3" xfId="199"/>
    <cellStyle name="Heading 2 2 4" xfId="1558"/>
    <cellStyle name="Heading 2 3" xfId="198"/>
    <cellStyle name="Heading 3" xfId="6" builtinId="18" customBuiltin="1"/>
    <cellStyle name="Heading 3 2" xfId="118"/>
    <cellStyle name="Heading 3 2 2" xfId="397"/>
    <cellStyle name="Heading 3 2 2 2" xfId="567"/>
    <cellStyle name="Heading 3 2 3" xfId="598"/>
    <cellStyle name="Heading 3 2 3 2" xfId="1512"/>
    <cellStyle name="Heading 3 3" xfId="611"/>
    <cellStyle name="Heading 3 3 2" xfId="1559"/>
    <cellStyle name="Heading 4" xfId="7" builtinId="19" customBuiltin="1"/>
    <cellStyle name="Heading 4 2" xfId="612"/>
    <cellStyle name="Heading 4 2 2" xfId="613"/>
    <cellStyle name="Heading 4 2 3" xfId="1560"/>
    <cellStyle name="Heading 4 3" xfId="197"/>
    <cellStyle name="hrs" xfId="398"/>
    <cellStyle name="hrs 2" xfId="430"/>
    <cellStyle name="hrs 3" xfId="460"/>
    <cellStyle name="hrs 4" xfId="488"/>
    <cellStyle name="hrs 5" xfId="515"/>
    <cellStyle name="Hyperlink 2" xfId="277"/>
    <cellStyle name="Hyperlink 2 2" xfId="1379"/>
    <cellStyle name="Hyperlink 2 2 2" xfId="1393"/>
    <cellStyle name="Hyperlink 2 2 3" xfId="1549"/>
    <cellStyle name="Hyperlink 2 3" xfId="1362"/>
    <cellStyle name="Hyperlink 2 4" xfId="1533"/>
    <cellStyle name="Hyperlink 2 5" xfId="1596"/>
    <cellStyle name="Hyperlink 3" xfId="278"/>
    <cellStyle name="Hyperlink 3 2" xfId="1380"/>
    <cellStyle name="Hyperlink 3 2 2" xfId="1394"/>
    <cellStyle name="Hyperlink 3 2 3" xfId="1551"/>
    <cellStyle name="Hyperlink 3 3" xfId="1363"/>
    <cellStyle name="Hyperlink 3 4" xfId="1534"/>
    <cellStyle name="Hyperlink 4" xfId="276"/>
    <cellStyle name="Hyperlink 4 2" xfId="1395"/>
    <cellStyle name="Hyperlink 4 3" xfId="1550"/>
    <cellStyle name="Hyperlink 5" xfId="1352"/>
    <cellStyle name="Hyperlink 5 2" xfId="1396"/>
    <cellStyle name="Hyperlink 5 3" xfId="1548"/>
    <cellStyle name="Hyperlink 6" xfId="1397"/>
    <cellStyle name="Hyperlink 7" xfId="1398"/>
    <cellStyle name="Hyperlink 8" xfId="1348"/>
    <cellStyle name="Input" xfId="11" builtinId="20" customBuiltin="1"/>
    <cellStyle name="Input 2" xfId="119"/>
    <cellStyle name="Input 2 2" xfId="569"/>
    <cellStyle name="Input 2 2 2" xfId="1174"/>
    <cellStyle name="Input 2 2 2 2" xfId="1270"/>
    <cellStyle name="Input 2 2 3" xfId="1176"/>
    <cellStyle name="Input 2 2 3 2" xfId="1268"/>
    <cellStyle name="Input 2 2 4" xfId="1163"/>
    <cellStyle name="Input 2 2 4 2" xfId="1278"/>
    <cellStyle name="Input 2 2 5" xfId="1177"/>
    <cellStyle name="Input 2 2 5 2" xfId="1267"/>
    <cellStyle name="Input 2 2 6" xfId="1169"/>
    <cellStyle name="Input 2 2 6 2" xfId="1273"/>
    <cellStyle name="Input 2 2 7" xfId="1289"/>
    <cellStyle name="Input 2 3" xfId="1173"/>
    <cellStyle name="Input 2 3 2" xfId="1271"/>
    <cellStyle name="Input 2 4" xfId="1234"/>
    <cellStyle name="Input 2 4 2" xfId="1339"/>
    <cellStyle name="Input 2 5" xfId="1192"/>
    <cellStyle name="Input 2 5 2" xfId="1261"/>
    <cellStyle name="Input 2 6" xfId="1181"/>
    <cellStyle name="Input 2 6 2" xfId="1264"/>
    <cellStyle name="Input 2 7" xfId="1228"/>
    <cellStyle name="Input 2 7 2" xfId="1337"/>
    <cellStyle name="Input 2 8" xfId="1291"/>
    <cellStyle name="Input 2 9" xfId="568"/>
    <cellStyle name="Input 2 9 2" xfId="1513"/>
    <cellStyle name="Input 3" xfId="570"/>
    <cellStyle name="Input 3 2" xfId="1175"/>
    <cellStyle name="Input 3 2 2" xfId="1269"/>
    <cellStyle name="Input 3 3" xfId="1208"/>
    <cellStyle name="Input 3 3 2" xfId="1258"/>
    <cellStyle name="Input 3 4" xfId="1189"/>
    <cellStyle name="Input 3 4 2" xfId="1262"/>
    <cellStyle name="Input 3 5" xfId="1229"/>
    <cellStyle name="Input 3 5 2" xfId="1338"/>
    <cellStyle name="Input 3 6" xfId="1204"/>
    <cellStyle name="Input 3 6 2" xfId="1260"/>
    <cellStyle name="Input 3 7" xfId="1287"/>
    <cellStyle name="kg" xfId="399"/>
    <cellStyle name="kg 2" xfId="431"/>
    <cellStyle name="kg 3" xfId="461"/>
    <cellStyle name="kg 4" xfId="489"/>
    <cellStyle name="kg 5" xfId="516"/>
    <cellStyle name="kL" xfId="400"/>
    <cellStyle name="kL 2" xfId="432"/>
    <cellStyle name="kL 3" xfId="462"/>
    <cellStyle name="kL 4" xfId="490"/>
    <cellStyle name="kL 5" xfId="517"/>
    <cellStyle name="kL/h" xfId="401"/>
    <cellStyle name="kL/h 2" xfId="433"/>
    <cellStyle name="kL/ser/d" xfId="402"/>
    <cellStyle name="kL/ser/d 2" xfId="434"/>
    <cellStyle name="kL/ser/d 3" xfId="463"/>
    <cellStyle name="kL/ser/d 4" xfId="491"/>
    <cellStyle name="kL/ser/d 5" xfId="518"/>
    <cellStyle name="km" xfId="403"/>
    <cellStyle name="km 2" xfId="435"/>
    <cellStyle name="km 3" xfId="464"/>
    <cellStyle name="km 4" xfId="492"/>
    <cellStyle name="km 5" xfId="519"/>
    <cellStyle name="kPa" xfId="404"/>
    <cellStyle name="kPa 2" xfId="436"/>
    <cellStyle name="kPa 3" xfId="465"/>
    <cellStyle name="kPa 4" xfId="493"/>
    <cellStyle name="kPa 5" xfId="520"/>
    <cellStyle name="kW" xfId="405"/>
    <cellStyle name="kW 2" xfId="437"/>
    <cellStyle name="kW 3" xfId="466"/>
    <cellStyle name="kW 4" xfId="494"/>
    <cellStyle name="kW 5" xfId="521"/>
    <cellStyle name="kWh" xfId="406"/>
    <cellStyle name="kWh 2" xfId="438"/>
    <cellStyle name="kWh 3" xfId="467"/>
    <cellStyle name="kWh 4" xfId="495"/>
    <cellStyle name="kWh 5" xfId="522"/>
    <cellStyle name="L" xfId="407"/>
    <cellStyle name="L 2" xfId="439"/>
    <cellStyle name="L 3" xfId="468"/>
    <cellStyle name="L 4" xfId="496"/>
    <cellStyle name="L 5" xfId="523"/>
    <cellStyle name="L/min" xfId="408"/>
    <cellStyle name="L/min 2" xfId="440"/>
    <cellStyle name="L/s" xfId="409"/>
    <cellStyle name="L/s 2" xfId="441"/>
    <cellStyle name="L/s 3" xfId="469"/>
    <cellStyle name="L/s 4" xfId="497"/>
    <cellStyle name="L/s 5" xfId="524"/>
    <cellStyle name="Linked Cell" xfId="14" builtinId="24" customBuiltin="1"/>
    <cellStyle name="Linked Cell 2" xfId="120"/>
    <cellStyle name="Linked Cell 2 2" xfId="572"/>
    <cellStyle name="Linked Cell 2 3" xfId="571"/>
    <cellStyle name="Linked Cell 2 3 2" xfId="1514"/>
    <cellStyle name="Linked Cell 3" xfId="565"/>
    <cellStyle name="m" xfId="410"/>
    <cellStyle name="m 2" xfId="442"/>
    <cellStyle name="m 3" xfId="470"/>
    <cellStyle name="m 4" xfId="498"/>
    <cellStyle name="m 5" xfId="525"/>
    <cellStyle name="m/km" xfId="411"/>
    <cellStyle name="m/km 2" xfId="443"/>
    <cellStyle name="m/km 3" xfId="471"/>
    <cellStyle name="m/km 4" xfId="499"/>
    <cellStyle name="m/km 5" xfId="526"/>
    <cellStyle name="m/s" xfId="412"/>
    <cellStyle name="m/s 2" xfId="444"/>
    <cellStyle name="m/s 3" xfId="472"/>
    <cellStyle name="m/s 4" xfId="500"/>
    <cellStyle name="m/s 5" xfId="527"/>
    <cellStyle name="mAHD" xfId="413"/>
    <cellStyle name="mAHD 2" xfId="445"/>
    <cellStyle name="mAHD 3" xfId="473"/>
    <cellStyle name="mAHD 4" xfId="501"/>
    <cellStyle name="mAHD 5" xfId="528"/>
    <cellStyle name="MJ" xfId="414"/>
    <cellStyle name="MJ 2" xfId="446"/>
    <cellStyle name="MJ 3" xfId="474"/>
    <cellStyle name="MJ 4" xfId="502"/>
    <cellStyle name="MJ 5" xfId="529"/>
    <cellStyle name="ML" xfId="415"/>
    <cellStyle name="ML 2" xfId="447"/>
    <cellStyle name="ML 3" xfId="475"/>
    <cellStyle name="ML 4" xfId="503"/>
    <cellStyle name="ML 5" xfId="530"/>
    <cellStyle name="ML/d" xfId="416"/>
    <cellStyle name="ML/d 2" xfId="448"/>
    <cellStyle name="ML/d 3" xfId="476"/>
    <cellStyle name="ML/d 4" xfId="504"/>
    <cellStyle name="ML/d 5" xfId="531"/>
    <cellStyle name="mm" xfId="417"/>
    <cellStyle name="mm 2" xfId="449"/>
    <cellStyle name="mm 3" xfId="477"/>
    <cellStyle name="mm 4" xfId="505"/>
    <cellStyle name="mm 5" xfId="532"/>
    <cellStyle name="mNCD" xfId="418"/>
    <cellStyle name="mNCD 2" xfId="450"/>
    <cellStyle name="Neutral" xfId="10" builtinId="28" customBuiltin="1"/>
    <cellStyle name="Neutral 2" xfId="121"/>
    <cellStyle name="Neutral 2 2" xfId="573"/>
    <cellStyle name="Neutral 2 3" xfId="566"/>
    <cellStyle name="Neutral 2 3 2" xfId="1515"/>
    <cellStyle name="Neutral 3" xfId="574"/>
    <cellStyle name="Normal" xfId="0" builtinId="0"/>
    <cellStyle name="Normal 10" xfId="122"/>
    <cellStyle name="Normal 10 2" xfId="271"/>
    <cellStyle name="Normal 10 2 2" xfId="577"/>
    <cellStyle name="Normal 10 2 2 2" xfId="614"/>
    <cellStyle name="Normal 10 2 3" xfId="615"/>
    <cellStyle name="Normal 10 2 4" xfId="576"/>
    <cellStyle name="Normal 10 2 5" xfId="1568"/>
    <cellStyle name="Normal 10 3" xfId="279"/>
    <cellStyle name="Normal 10 3 2" xfId="723"/>
    <cellStyle name="Normal 10 3 3" xfId="578"/>
    <cellStyle name="Normal 10 4" xfId="280"/>
    <cellStyle name="Normal 10 4 2" xfId="196"/>
    <cellStyle name="Normal 10 5" xfId="281"/>
    <cellStyle name="Normal 10 5 2" xfId="724"/>
    <cellStyle name="Normal 10 6" xfId="282"/>
    <cellStyle name="Normal 10 6 2" xfId="727"/>
    <cellStyle name="Normal 10 7" xfId="283"/>
    <cellStyle name="Normal 10 8" xfId="272"/>
    <cellStyle name="Normal 10 8 2" xfId="1516"/>
    <cellStyle name="Normal 10 9" xfId="575"/>
    <cellStyle name="Normal 11" xfId="123"/>
    <cellStyle name="Normal 11 2" xfId="284"/>
    <cellStyle name="Normal 11 2 2" xfId="657"/>
    <cellStyle name="Normal 11 2 2 2" xfId="722"/>
    <cellStyle name="Normal 11 2 3" xfId="659"/>
    <cellStyle name="Normal 11 2 4" xfId="169"/>
    <cellStyle name="Normal 11 2 5" xfId="1590"/>
    <cellStyle name="Normal 11 3" xfId="285"/>
    <cellStyle name="Normal 11 3 2" xfId="579"/>
    <cellStyle name="Normal 11 3 3" xfId="194"/>
    <cellStyle name="Normal 11 4" xfId="286"/>
    <cellStyle name="Normal 11 4 2" xfId="193"/>
    <cellStyle name="Normal 11 5" xfId="536"/>
    <cellStyle name="Normal 11 5 2" xfId="1517"/>
    <cellStyle name="Normal 11 6" xfId="195"/>
    <cellStyle name="Normal 12" xfId="544"/>
    <cellStyle name="Normal 12 2" xfId="267"/>
    <cellStyle name="Normal 12 2 2" xfId="580"/>
    <cellStyle name="Normal 12 2 2 2" xfId="581"/>
    <cellStyle name="Normal 12 2 3" xfId="582"/>
    <cellStyle name="Normal 12 3" xfId="583"/>
    <cellStyle name="Normal 12 3 2" xfId="584"/>
    <cellStyle name="Normal 12 4" xfId="803"/>
    <cellStyle name="Normal 12 5" xfId="616"/>
    <cellStyle name="Normal 12 6" xfId="1594"/>
    <cellStyle name="Normal 13" xfId="546"/>
    <cellStyle name="Normal 13 2" xfId="167"/>
    <cellStyle name="Normal 13 2 2" xfId="618"/>
    <cellStyle name="Normal 13 2 2 2" xfId="778"/>
    <cellStyle name="Normal 13 2 3" xfId="700"/>
    <cellStyle name="Normal 13 3" xfId="776"/>
    <cellStyle name="Normal 13 3 2" xfId="241"/>
    <cellStyle name="Normal 13 4" xfId="811"/>
    <cellStyle name="Normal 13 5" xfId="617"/>
    <cellStyle name="Normal 14" xfId="207"/>
    <cellStyle name="Normal 14 2" xfId="728"/>
    <cellStyle name="Normal 14 2 2" xfId="264"/>
    <cellStyle name="Normal 14 2 2 2" xfId="240"/>
    <cellStyle name="Normal 14 2 3" xfId="221"/>
    <cellStyle name="Normal 14 3" xfId="663"/>
    <cellStyle name="Normal 14 3 2" xfId="755"/>
    <cellStyle name="Normal 14 4" xfId="263"/>
    <cellStyle name="Normal 15" xfId="239"/>
    <cellStyle name="Normal 15 2" xfId="220"/>
    <cellStyle name="Normal 15 2 2" xfId="698"/>
    <cellStyle name="Normal 15 2 2 2" xfId="782"/>
    <cellStyle name="Normal 15 2 3" xfId="262"/>
    <cellStyle name="Normal 15 3" xfId="238"/>
    <cellStyle name="Normal 15 3 2" xfId="219"/>
    <cellStyle name="Normal 15 4" xfId="725"/>
    <cellStyle name="Normal 16" xfId="670"/>
    <cellStyle name="Normal 16 2" xfId="261"/>
    <cellStyle name="Normal 16 2 2" xfId="237"/>
    <cellStyle name="Normal 16 2 2 2" xfId="218"/>
    <cellStyle name="Normal 16 2 3" xfId="752"/>
    <cellStyle name="Normal 16 3" xfId="701"/>
    <cellStyle name="Normal 16 3 2" xfId="260"/>
    <cellStyle name="Normal 16 4" xfId="236"/>
    <cellStyle name="Normal 17" xfId="217"/>
    <cellStyle name="Normal 17 2" xfId="779"/>
    <cellStyle name="Normal 17 2 2" xfId="729"/>
    <cellStyle name="Normal 17 2 2 2" xfId="259"/>
    <cellStyle name="Normal 17 2 3" xfId="235"/>
    <cellStyle name="Normal 17 3" xfId="216"/>
    <cellStyle name="Normal 17 3 2" xfId="664"/>
    <cellStyle name="Normal 17 4" xfId="756"/>
    <cellStyle name="Normal 18" xfId="258"/>
    <cellStyle name="Normal 18 2" xfId="234"/>
    <cellStyle name="Normal 19" xfId="215"/>
    <cellStyle name="Normal 2" xfId="44"/>
    <cellStyle name="Normal 2 10" xfId="288"/>
    <cellStyle name="Normal 2 11" xfId="289"/>
    <cellStyle name="Normal 2 12" xfId="539"/>
    <cellStyle name="Normal 2 12 2" xfId="1382"/>
    <cellStyle name="Normal 2 13" xfId="287"/>
    <cellStyle name="Normal 2 13 2" xfId="1353"/>
    <cellStyle name="Normal 2 14" xfId="1349"/>
    <cellStyle name="Normal 2 2" xfId="124"/>
    <cellStyle name="Normal 2 2 10" xfId="1600"/>
    <cellStyle name="Normal 2 2 2" xfId="125"/>
    <cellStyle name="Normal 2 2 2 2" xfId="292"/>
    <cellStyle name="Normal 2 2 2 2 2" xfId="293"/>
    <cellStyle name="Normal 2 2 2 2 3" xfId="294"/>
    <cellStyle name="Normal 2 2 2 2 4" xfId="295"/>
    <cellStyle name="Normal 2 2 2 3" xfId="296"/>
    <cellStyle name="Normal 2 2 2 4" xfId="297"/>
    <cellStyle name="Normal 2 2 2 5" xfId="291"/>
    <cellStyle name="Normal 2 2 2 5 2" xfId="1518"/>
    <cellStyle name="Normal 2 2 3" xfId="298"/>
    <cellStyle name="Normal 2 2 3 2" xfId="1383"/>
    <cellStyle name="Normal 2 2 3 3" xfId="1377"/>
    <cellStyle name="Normal 2 2 3 4" xfId="1535"/>
    <cellStyle name="Normal 2 2 4" xfId="299"/>
    <cellStyle name="Normal 2 2 4 2" xfId="1384"/>
    <cellStyle name="Normal 2 2 4 2 2" xfId="1399"/>
    <cellStyle name="Normal 2 2 4 2 3" xfId="1552"/>
    <cellStyle name="Normal 2 2 4 3" xfId="1357"/>
    <cellStyle name="Normal 2 2 4 4" xfId="1536"/>
    <cellStyle name="Normal 2 2 4 5" xfId="1556"/>
    <cellStyle name="Normal 2 2 5" xfId="300"/>
    <cellStyle name="Normal 2 2 6" xfId="301"/>
    <cellStyle name="Normal 2 2 7" xfId="302"/>
    <cellStyle name="Normal 2 2 8" xfId="290"/>
    <cellStyle name="Normal 2 2 8 2" xfId="1415"/>
    <cellStyle name="Normal 2 2 9" xfId="202"/>
    <cellStyle name="Normal 2 3" xfId="126"/>
    <cellStyle name="Normal 2 3 2" xfId="127"/>
    <cellStyle name="Normal 2 3 2 2" xfId="675"/>
    <cellStyle name="Normal 2 3 2 2 2" xfId="1400"/>
    <cellStyle name="Normal 2 3 2 3" xfId="1435"/>
    <cellStyle name="Normal 2 3 2 3 2" xfId="1553"/>
    <cellStyle name="Normal 2 3 3" xfId="1378"/>
    <cellStyle name="Normal 2 3 4" xfId="1537"/>
    <cellStyle name="Normal 2 4" xfId="128"/>
    <cellStyle name="Normal 2 4 2" xfId="303"/>
    <cellStyle name="Normal 2 4 2 2" xfId="619"/>
    <cellStyle name="Normal 2 4 2 3" xfId="1402"/>
    <cellStyle name="Normal 2 4 2 4" xfId="1564"/>
    <cellStyle name="Normal 2 4 3" xfId="783"/>
    <cellStyle name="Normal 2 4 3 2" xfId="1401"/>
    <cellStyle name="Normal 2 4 4" xfId="1432"/>
    <cellStyle name="Normal 2 4 4 2" xfId="1538"/>
    <cellStyle name="Normal 2 4 5" xfId="1455"/>
    <cellStyle name="Normal 2 5" xfId="129"/>
    <cellStyle name="Normal 2 5 2" xfId="304"/>
    <cellStyle name="Normal 2 5 2 2" xfId="1449"/>
    <cellStyle name="Normal 2 5 2 3" xfId="1404"/>
    <cellStyle name="Normal 2 5 2 4" xfId="1586"/>
    <cellStyle name="Normal 2 5 3" xfId="1244"/>
    <cellStyle name="Normal 2 5 3 2" xfId="1450"/>
    <cellStyle name="Normal 2 5 3 3" xfId="1403"/>
    <cellStyle name="Normal 2 5 4" xfId="1519"/>
    <cellStyle name="Normal 2 5 4 2" xfId="1539"/>
    <cellStyle name="Normal 2 6" xfId="130"/>
    <cellStyle name="Normal 2 6 2" xfId="305"/>
    <cellStyle name="Normal 2 6 2 2" xfId="1591"/>
    <cellStyle name="Normal 2 6 3" xfId="1405"/>
    <cellStyle name="Normal 2 6 4" xfId="1520"/>
    <cellStyle name="Normal 2 7" xfId="306"/>
    <cellStyle name="Normal 2 7 2" xfId="307"/>
    <cellStyle name="Normal 2 7 2 2" xfId="308"/>
    <cellStyle name="Normal 2 7 2 3" xfId="309"/>
    <cellStyle name="Normal 2 7 2 4" xfId="310"/>
    <cellStyle name="Normal 2 7 3" xfId="311"/>
    <cellStyle name="Normal 2 7 4" xfId="312"/>
    <cellStyle name="Normal 2 8" xfId="313"/>
    <cellStyle name="Normal 2 9" xfId="314"/>
    <cellStyle name="Normal 2_Capital Exp Received for 2013_2014" xfId="257"/>
    <cellStyle name="Normal 20" xfId="228"/>
    <cellStyle name="Normal 21" xfId="245"/>
    <cellStyle name="Normal 21 2" xfId="652"/>
    <cellStyle name="Normal 21 2 2" xfId="883"/>
    <cellStyle name="Normal 21 2 2 2" xfId="1110"/>
    <cellStyle name="Normal 21 2 3" xfId="997"/>
    <cellStyle name="Normal 21 3" xfId="662"/>
    <cellStyle name="Normal 21 3 2" xfId="920"/>
    <cellStyle name="Normal 21 3 2 2" xfId="1147"/>
    <cellStyle name="Normal 21 3 3" xfId="1034"/>
    <cellStyle name="Normal 21 4" xfId="846"/>
    <cellStyle name="Normal 21 4 2" xfId="1073"/>
    <cellStyle name="Normal 21 5" xfId="960"/>
    <cellStyle name="Normal 22" xfId="225"/>
    <cellStyle name="Normal 22 2" xfId="653"/>
    <cellStyle name="Normal 22 2 2" xfId="884"/>
    <cellStyle name="Normal 22 2 2 2" xfId="1111"/>
    <cellStyle name="Normal 22 2 3" xfId="998"/>
    <cellStyle name="Normal 22 3" xfId="553"/>
    <cellStyle name="Normal 22 3 2" xfId="921"/>
    <cellStyle name="Normal 22 3 2 2" xfId="1148"/>
    <cellStyle name="Normal 22 3 3" xfId="1035"/>
    <cellStyle name="Normal 22 4" xfId="847"/>
    <cellStyle name="Normal 22 4 2" xfId="1074"/>
    <cellStyle name="Normal 22 5" xfId="961"/>
    <cellStyle name="Normal 23" xfId="751"/>
    <cellStyle name="Normal 23 2" xfId="654"/>
    <cellStyle name="Normal 23 2 2" xfId="885"/>
    <cellStyle name="Normal 23 2 2 2" xfId="1112"/>
    <cellStyle name="Normal 23 2 3" xfId="999"/>
    <cellStyle name="Normal 23 3" xfId="787"/>
    <cellStyle name="Normal 23 3 2" xfId="922"/>
    <cellStyle name="Normal 23 3 2 2" xfId="1149"/>
    <cellStyle name="Normal 23 3 3" xfId="1036"/>
    <cellStyle name="Normal 23 4" xfId="848"/>
    <cellStyle name="Normal 23 4 2" xfId="1075"/>
    <cellStyle name="Normal 23 5" xfId="962"/>
    <cellStyle name="Normal 24" xfId="781"/>
    <cellStyle name="Normal 24 2" xfId="655"/>
    <cellStyle name="Normal 24 2 2" xfId="886"/>
    <cellStyle name="Normal 24 2 2 2" xfId="1113"/>
    <cellStyle name="Normal 24 2 3" xfId="1000"/>
    <cellStyle name="Normal 24 3" xfId="242"/>
    <cellStyle name="Normal 24 3 2" xfId="923"/>
    <cellStyle name="Normal 24 3 2 2" xfId="1150"/>
    <cellStyle name="Normal 24 3 3" xfId="1037"/>
    <cellStyle name="Normal 24 4" xfId="849"/>
    <cellStyle name="Normal 24 4 2" xfId="1076"/>
    <cellStyle name="Normal 24 5" xfId="963"/>
    <cellStyle name="Normal 25" xfId="754"/>
    <cellStyle name="Normal 26" xfId="706"/>
    <cellStyle name="Normal 26 2" xfId="656"/>
    <cellStyle name="Normal 26 2 2" xfId="887"/>
    <cellStyle name="Normal 26 2 2 2" xfId="1114"/>
    <cellStyle name="Normal 26 2 3" xfId="1001"/>
    <cellStyle name="Normal 26 3" xfId="551"/>
    <cellStyle name="Normal 26 3 2" xfId="924"/>
    <cellStyle name="Normal 26 3 2 2" xfId="1151"/>
    <cellStyle name="Normal 26 3 3" xfId="1038"/>
    <cellStyle name="Normal 26 4" xfId="850"/>
    <cellStyle name="Normal 26 4 2" xfId="1077"/>
    <cellStyle name="Normal 26 5" xfId="964"/>
    <cellStyle name="Normal 27" xfId="820"/>
    <cellStyle name="Normal 27 2" xfId="1047"/>
    <cellStyle name="Normal 27 3" xfId="1245"/>
    <cellStyle name="Normal 27 3 2" xfId="1254"/>
    <cellStyle name="Normal 28" xfId="932"/>
    <cellStyle name="Normal 28 2" xfId="1159"/>
    <cellStyle name="Normal 29" xfId="819"/>
    <cellStyle name="Normal 29 2" xfId="1046"/>
    <cellStyle name="Normal 3" xfId="45"/>
    <cellStyle name="Normal 3 10" xfId="537"/>
    <cellStyle name="Normal 3 10 2" xfId="1350"/>
    <cellStyle name="Normal 3 11" xfId="315"/>
    <cellStyle name="Normal 3 2" xfId="47"/>
    <cellStyle name="Normal 3 2 2" xfId="1406"/>
    <cellStyle name="Normal 3 2 2 2" xfId="1407"/>
    <cellStyle name="Normal 3 3" xfId="131"/>
    <cellStyle name="Normal 3 3 2" xfId="316"/>
    <cellStyle name="Normal 3 3 2 2" xfId="733"/>
    <cellStyle name="Normal 3 3 2 2 2" xfId="1408"/>
    <cellStyle name="Normal 3 3 2 3" xfId="1436"/>
    <cellStyle name="Normal 3 3 2 3 2" xfId="1554"/>
    <cellStyle name="Normal 3 3 2 4" xfId="1563"/>
    <cellStyle name="Normal 3 3 3" xfId="640"/>
    <cellStyle name="Normal 3 3 3 2" xfId="866"/>
    <cellStyle name="Normal 3 3 3 2 2" xfId="1093"/>
    <cellStyle name="Normal 3 3 3 3" xfId="980"/>
    <cellStyle name="Normal 3 3 3 4" xfId="1438"/>
    <cellStyle name="Normal 3 3 3 5" xfId="1375"/>
    <cellStyle name="Normal 3 3 4" xfId="172"/>
    <cellStyle name="Normal 3 3 4 2" xfId="903"/>
    <cellStyle name="Normal 3 3 4 2 2" xfId="1130"/>
    <cellStyle name="Normal 3 3 4 3" xfId="1017"/>
    <cellStyle name="Normal 3 3 4 4" xfId="1540"/>
    <cellStyle name="Normal 3 3 5" xfId="829"/>
    <cellStyle name="Normal 3 3 5 2" xfId="1056"/>
    <cellStyle name="Normal 3 3 6" xfId="943"/>
    <cellStyle name="Normal 3 3 7" xfId="785"/>
    <cellStyle name="Normal 3 4" xfId="132"/>
    <cellStyle name="Normal 3 4 2" xfId="317"/>
    <cellStyle name="Normal 3 4 2 2" xfId="1085"/>
    <cellStyle name="Normal 3 4 2 3" xfId="858"/>
    <cellStyle name="Normal 3 4 2 4" xfId="1585"/>
    <cellStyle name="Normal 3 4 3" xfId="972"/>
    <cellStyle name="Normal 3 4 3 2" xfId="1541"/>
    <cellStyle name="Normal 3 4 4" xfId="692"/>
    <cellStyle name="Normal 3 4 4 2" xfId="1457"/>
    <cellStyle name="Normal 3 5" xfId="133"/>
    <cellStyle name="Normal 3 5 2" xfId="318"/>
    <cellStyle name="Normal 3 5 2 2" xfId="1122"/>
    <cellStyle name="Normal 3 5 2 3" xfId="895"/>
    <cellStyle name="Normal 3 5 2 4" xfId="1592"/>
    <cellStyle name="Normal 3 5 3" xfId="1009"/>
    <cellStyle name="Normal 3 5 4" xfId="804"/>
    <cellStyle name="Normal 3 5 5" xfId="1521"/>
    <cellStyle name="Normal 3 6" xfId="319"/>
    <cellStyle name="Normal 3 6 2" xfId="1048"/>
    <cellStyle name="Normal 3 6 3" xfId="821"/>
    <cellStyle name="Normal 3 7" xfId="320"/>
    <cellStyle name="Normal 3 7 2" xfId="935"/>
    <cellStyle name="Normal 3 8" xfId="321"/>
    <cellStyle name="Normal 3 9" xfId="535"/>
    <cellStyle name="Normal 3 9 2" xfId="1385"/>
    <cellStyle name="Normal 3_Capital Exp Received for 2013_2014" xfId="747"/>
    <cellStyle name="Normal 30" xfId="934"/>
    <cellStyle name="Normal 31" xfId="1160"/>
    <cellStyle name="Normal 32" xfId="1201"/>
    <cellStyle name="Normal 33" xfId="1180"/>
    <cellStyle name="Normal 34" xfId="1223"/>
    <cellStyle name="Normal 35" xfId="1170"/>
    <cellStyle name="Normal 36" xfId="1222"/>
    <cellStyle name="Normal 37" xfId="1171"/>
    <cellStyle name="Normal 38" xfId="1205"/>
    <cellStyle name="Normal 39" xfId="1183"/>
    <cellStyle name="Normal 4" xfId="134"/>
    <cellStyle name="Normal 4 10" xfId="323"/>
    <cellStyle name="Normal 4 11" xfId="324"/>
    <cellStyle name="Normal 4 12" xfId="325"/>
    <cellStyle name="Normal 4 13" xfId="541"/>
    <cellStyle name="Normal 4 13 2" xfId="1386"/>
    <cellStyle name="Normal 4 14" xfId="542"/>
    <cellStyle name="Normal 4 15" xfId="322"/>
    <cellStyle name="Normal 4 15 2" xfId="1542"/>
    <cellStyle name="Normal 4 15 3" xfId="1414"/>
    <cellStyle name="Normal 4 16" xfId="750"/>
    <cellStyle name="Normal 4 17" xfId="1602"/>
    <cellStyle name="Normal 4 2" xfId="135"/>
    <cellStyle name="Normal 4 2 2" xfId="327"/>
    <cellStyle name="Normal 4 2 2 2" xfId="328"/>
    <cellStyle name="Normal 4 2 2 2 2" xfId="329"/>
    <cellStyle name="Normal 4 2 2 2 3" xfId="330"/>
    <cellStyle name="Normal 4 2 2 2 4" xfId="331"/>
    <cellStyle name="Normal 4 2 2 3" xfId="332"/>
    <cellStyle name="Normal 4 2 2 4" xfId="333"/>
    <cellStyle name="Normal 4 2 2 5" xfId="1410"/>
    <cellStyle name="Normal 4 2 2 6" xfId="1544"/>
    <cellStyle name="Normal 4 2 3" xfId="334"/>
    <cellStyle name="Normal 4 2 4" xfId="335"/>
    <cellStyle name="Normal 4 2 5" xfId="336"/>
    <cellStyle name="Normal 4 2 6" xfId="337"/>
    <cellStyle name="Normal 4 2 7" xfId="338"/>
    <cellStyle name="Normal 4 2 8" xfId="326"/>
    <cellStyle name="Normal 4 2 8 2" xfId="1409"/>
    <cellStyle name="Normal 4 2 9" xfId="1344"/>
    <cellStyle name="Normal 4 2 9 2" xfId="1543"/>
    <cellStyle name="Normal 4 3" xfId="339"/>
    <cellStyle name="Normal 4 3 2" xfId="628"/>
    <cellStyle name="Normal 4 4" xfId="340"/>
    <cellStyle name="Normal 4 4 2" xfId="629"/>
    <cellStyle name="Normal 4 5" xfId="341"/>
    <cellStyle name="Normal 4 6" xfId="342"/>
    <cellStyle name="Normal 4 7" xfId="343"/>
    <cellStyle name="Normal 4 7 2" xfId="344"/>
    <cellStyle name="Normal 4 7 2 2" xfId="345"/>
    <cellStyle name="Normal 4 7 2 3" xfId="346"/>
    <cellStyle name="Normal 4 7 2 4" xfId="347"/>
    <cellStyle name="Normal 4 7 3" xfId="348"/>
    <cellStyle name="Normal 4 7 4" xfId="349"/>
    <cellStyle name="Normal 4 8" xfId="350"/>
    <cellStyle name="Normal 4 9" xfId="351"/>
    <cellStyle name="Normal 40" xfId="1211"/>
    <cellStyle name="Normal 41" xfId="933"/>
    <cellStyle name="Normal 42" xfId="1243"/>
    <cellStyle name="Normal 43" xfId="1242"/>
    <cellStyle name="Normal 44" xfId="1256"/>
    <cellStyle name="Normal 5" xfId="136"/>
    <cellStyle name="Normal 5 10" xfId="590"/>
    <cellStyle name="Normal 5 10 2" xfId="1545"/>
    <cellStyle name="Normal 5 11" xfId="1598"/>
    <cellStyle name="Normal 5 2" xfId="353"/>
    <cellStyle name="Normal 5 2 2" xfId="748"/>
    <cellStyle name="Normal 5 2 2 2" xfId="1388"/>
    <cellStyle name="Normal 5 2 3" xfId="1345"/>
    <cellStyle name="Normal 5 2 3 2" xfId="1374"/>
    <cellStyle name="Normal 5 2 4" xfId="1460"/>
    <cellStyle name="Normal 5 2 4 2" xfId="1546"/>
    <cellStyle name="Normal 5 3" xfId="354"/>
    <cellStyle name="Normal 5 3 2" xfId="726"/>
    <cellStyle name="Normal 5 3 2 2" xfId="1389"/>
    <cellStyle name="Normal 5 3 3" xfId="1376"/>
    <cellStyle name="Normal 5 3 4" xfId="1433"/>
    <cellStyle name="Normal 5 3 4 2" xfId="1547"/>
    <cellStyle name="Normal 5 4" xfId="355"/>
    <cellStyle name="Normal 5 4 2" xfId="806"/>
    <cellStyle name="Normal 5 4 2 2" xfId="549"/>
    <cellStyle name="Normal 5 4 2 2 2" xfId="888"/>
    <cellStyle name="Normal 5 4 2 2 2 2" xfId="1115"/>
    <cellStyle name="Normal 5 4 2 2 3" xfId="1002"/>
    <cellStyle name="Normal 5 4 2 3" xfId="697"/>
    <cellStyle name="Normal 5 4 2 3 2" xfId="925"/>
    <cellStyle name="Normal 5 4 2 3 2 2" xfId="1152"/>
    <cellStyle name="Normal 5 4 2 3 3" xfId="1039"/>
    <cellStyle name="Normal 5 4 2 4" xfId="851"/>
    <cellStyle name="Normal 5 4 2 4 2" xfId="1078"/>
    <cellStyle name="Normal 5 4 2 5" xfId="965"/>
    <cellStyle name="Normal 5 4 3" xfId="671"/>
    <cellStyle name="Normal 5 5" xfId="356"/>
    <cellStyle name="Normal 5 6" xfId="357"/>
    <cellStyle name="Normal 5 7" xfId="358"/>
    <cellStyle name="Normal 5 8" xfId="540"/>
    <cellStyle name="Normal 5 8 2" xfId="1387"/>
    <cellStyle name="Normal 5 9" xfId="352"/>
    <cellStyle name="Normal 5 9 2" xfId="1373"/>
    <cellStyle name="Normal 5_Capital Exp Received for 2013_2014" xfId="753"/>
    <cellStyle name="Normal 55" xfId="359"/>
    <cellStyle name="Normal 56" xfId="360"/>
    <cellStyle name="Normal 6" xfId="137"/>
    <cellStyle name="Normal 6 10" xfId="1351"/>
    <cellStyle name="Normal 6 2" xfId="138"/>
    <cellStyle name="Normal 6 2 2" xfId="362"/>
    <cellStyle name="Normal 6 2 2 2" xfId="233"/>
    <cellStyle name="Normal 6 2 2 3" xfId="256"/>
    <cellStyle name="Normal 6 2 3" xfId="214"/>
    <cellStyle name="Normal 6 2 4" xfId="624"/>
    <cellStyle name="Normal 6 2 5" xfId="702"/>
    <cellStyle name="Normal 6 2 6" xfId="1346"/>
    <cellStyle name="Normal 6 2 7" xfId="1522"/>
    <cellStyle name="Normal 6 2_Capital Exp Received for 2013_2014" xfId="780"/>
    <cellStyle name="Normal 6 3" xfId="363"/>
    <cellStyle name="Normal 6 3 2" xfId="255"/>
    <cellStyle name="Normal 6 3 3" xfId="630"/>
    <cellStyle name="Normal 6 3 3 2" xfId="269"/>
    <cellStyle name="Normal 6 3 3 2 2" xfId="889"/>
    <cellStyle name="Normal 6 3 3 2 2 2" xfId="1116"/>
    <cellStyle name="Normal 6 3 3 2 3" xfId="1003"/>
    <cellStyle name="Normal 6 3 3 3" xfId="554"/>
    <cellStyle name="Normal 6 3 3 3 2" xfId="926"/>
    <cellStyle name="Normal 6 3 3 3 2 2" xfId="1153"/>
    <cellStyle name="Normal 6 3 3 3 3" xfId="1040"/>
    <cellStyle name="Normal 6 3 3 4" xfId="852"/>
    <cellStyle name="Normal 6 3 3 4 2" xfId="1079"/>
    <cellStyle name="Normal 6 3 3 5" xfId="966"/>
    <cellStyle name="Normal 6 3 4" xfId="672"/>
    <cellStyle name="Normal 6 4" xfId="364"/>
    <cellStyle name="Normal 6 4 2" xfId="232"/>
    <cellStyle name="Normal 6 5" xfId="365"/>
    <cellStyle name="Normal 6 6" xfId="366"/>
    <cellStyle name="Normal 6 7" xfId="367"/>
    <cellStyle name="Normal 6 8" xfId="361"/>
    <cellStyle name="Normal 6 8 2" xfId="1428"/>
    <cellStyle name="Normal 6 9" xfId="591"/>
    <cellStyle name="Normal 6 9 2" xfId="1453"/>
    <cellStyle name="Normal 6_Capital Exp Received for 2013_2014" xfId="213"/>
    <cellStyle name="Normal 7" xfId="139"/>
    <cellStyle name="Normal 7 10" xfId="939"/>
    <cellStyle name="Normal 7 11" xfId="1247"/>
    <cellStyle name="Normal 7 12" xfId="1248"/>
    <cellStyle name="Normal 7 13" xfId="1249"/>
    <cellStyle name="Normal 7 13 2" xfId="1250"/>
    <cellStyle name="Normal 7 14" xfId="1251"/>
    <cellStyle name="Normal 7 15" xfId="1252"/>
    <cellStyle name="Normal 7 16" xfId="1253"/>
    <cellStyle name="Normal 7 2" xfId="368"/>
    <cellStyle name="Normal 7 2 2" xfId="254"/>
    <cellStyle name="Normal 7 2 2 2" xfId="162"/>
    <cellStyle name="Normal 7 2 3" xfId="212"/>
    <cellStyle name="Normal 7 2 4" xfId="631"/>
    <cellStyle name="Normal 7 2 5" xfId="703"/>
    <cellStyle name="Normal 7 3" xfId="369"/>
    <cellStyle name="Normal 7 3 2" xfId="730"/>
    <cellStyle name="Normal 7 3 3" xfId="223"/>
    <cellStyle name="Normal 7 3 4" xfId="206"/>
    <cellStyle name="Normal 7 4" xfId="370"/>
    <cellStyle name="Normal 7 4 2" xfId="188"/>
    <cellStyle name="Normal 7 4 2 2" xfId="182"/>
    <cellStyle name="Normal 7 4 2 2 2" xfId="890"/>
    <cellStyle name="Normal 7 4 2 2 2 2" xfId="1117"/>
    <cellStyle name="Normal 7 4 2 2 3" xfId="1004"/>
    <cellStyle name="Normal 7 4 2 3" xfId="676"/>
    <cellStyle name="Normal 7 4 2 3 2" xfId="927"/>
    <cellStyle name="Normal 7 4 2 3 2 2" xfId="1154"/>
    <cellStyle name="Normal 7 4 2 3 3" xfId="1041"/>
    <cellStyle name="Normal 7 4 2 4" xfId="853"/>
    <cellStyle name="Normal 7 4 2 4 2" xfId="1080"/>
    <cellStyle name="Normal 7 4 2 5" xfId="967"/>
    <cellStyle name="Normal 7 4 3" xfId="161"/>
    <cellStyle name="Normal 7 5" xfId="371"/>
    <cellStyle name="Normal 7 5 2" xfId="171"/>
    <cellStyle name="Normal 7 5 2 2" xfId="870"/>
    <cellStyle name="Normal 7 5 2 2 2" xfId="1097"/>
    <cellStyle name="Normal 7 5 2 3" xfId="984"/>
    <cellStyle name="Normal 7 5 3" xfId="772"/>
    <cellStyle name="Normal 7 5 3 2" xfId="907"/>
    <cellStyle name="Normal 7 5 3 2 2" xfId="1134"/>
    <cellStyle name="Normal 7 5 3 3" xfId="1021"/>
    <cellStyle name="Normal 7 5 4" xfId="833"/>
    <cellStyle name="Normal 7 5 4 2" xfId="1060"/>
    <cellStyle name="Normal 7 5 5" xfId="947"/>
    <cellStyle name="Normal 7 5 6" xfId="623"/>
    <cellStyle name="Normal 7 6" xfId="372"/>
    <cellStyle name="Normal 7 6 2" xfId="645"/>
    <cellStyle name="Normal 7 6 2 2" xfId="874"/>
    <cellStyle name="Normal 7 6 2 2 2" xfId="1101"/>
    <cellStyle name="Normal 7 6 2 3" xfId="988"/>
    <cellStyle name="Normal 7 6 3" xfId="746"/>
    <cellStyle name="Normal 7 6 3 2" xfId="911"/>
    <cellStyle name="Normal 7 6 3 2 2" xfId="1138"/>
    <cellStyle name="Normal 7 6 3 3" xfId="1025"/>
    <cellStyle name="Normal 7 6 4" xfId="837"/>
    <cellStyle name="Normal 7 6 4 2" xfId="1064"/>
    <cellStyle name="Normal 7 6 5" xfId="951"/>
    <cellStyle name="Normal 7 6 6" xfId="248"/>
    <cellStyle name="Normal 7 7" xfId="373"/>
    <cellStyle name="Normal 7 7 2" xfId="862"/>
    <cellStyle name="Normal 7 7 2 2" xfId="1089"/>
    <cellStyle name="Normal 7 7 3" xfId="976"/>
    <cellStyle name="Normal 7 7 4" xfId="588"/>
    <cellStyle name="Normal 7 8" xfId="175"/>
    <cellStyle name="Normal 7 8 2" xfId="899"/>
    <cellStyle name="Normal 7 8 2 2" xfId="1126"/>
    <cellStyle name="Normal 7 8 3" xfId="1013"/>
    <cellStyle name="Normal 7 8 4" xfId="1444"/>
    <cellStyle name="Normal 7 8 5" xfId="1412"/>
    <cellStyle name="Normal 7 9" xfId="825"/>
    <cellStyle name="Normal 7 9 2" xfId="1052"/>
    <cellStyle name="Normal 7_Capital Exp Received for 2013_2014" xfId="231"/>
    <cellStyle name="Normal 8" xfId="140"/>
    <cellStyle name="Normal 8 10" xfId="940"/>
    <cellStyle name="Normal 8 11" xfId="211"/>
    <cellStyle name="Normal 8 12" xfId="1523"/>
    <cellStyle name="Normal 8 2" xfId="141"/>
    <cellStyle name="Normal 8 2 2" xfId="375"/>
    <cellStyle name="Normal 8 2 2 2" xfId="253"/>
    <cellStyle name="Normal 8 2 2 3" xfId="757"/>
    <cellStyle name="Normal 8 2 3" xfId="230"/>
    <cellStyle name="Normal 8 2 4" xfId="205"/>
    <cellStyle name="Normal 8 2 5" xfId="1524"/>
    <cellStyle name="Normal 8 3" xfId="376"/>
    <cellStyle name="Normal 8 3 2" xfId="204"/>
    <cellStyle name="Normal 8 3 3" xfId="210"/>
    <cellStyle name="Normal 8 4" xfId="377"/>
    <cellStyle name="Normal 8 4 2" xfId="784"/>
    <cellStyle name="Normal 8 5" xfId="378"/>
    <cellStyle name="Normal 8 5 2" xfId="814"/>
    <cellStyle name="Normal 8 5 2 2" xfId="871"/>
    <cellStyle name="Normal 8 5 2 2 2" xfId="1098"/>
    <cellStyle name="Normal 8 5 2 3" xfId="985"/>
    <cellStyle name="Normal 8 5 3" xfId="799"/>
    <cellStyle name="Normal 8 5 3 2" xfId="908"/>
    <cellStyle name="Normal 8 5 3 2 2" xfId="1135"/>
    <cellStyle name="Normal 8 5 3 3" xfId="1022"/>
    <cellStyle name="Normal 8 5 4" xfId="834"/>
    <cellStyle name="Normal 8 5 4 2" xfId="1061"/>
    <cellStyle name="Normal 8 5 5" xfId="948"/>
    <cellStyle name="Normal 8 5 6" xfId="189"/>
    <cellStyle name="Normal 8 6" xfId="379"/>
    <cellStyle name="Normal 8 6 2" xfId="181"/>
    <cellStyle name="Normal 8 6 2 2" xfId="891"/>
    <cellStyle name="Normal 8 6 2 2 2" xfId="1118"/>
    <cellStyle name="Normal 8 6 2 3" xfId="1005"/>
    <cellStyle name="Normal 8 6 3" xfId="815"/>
    <cellStyle name="Normal 8 6 3 2" xfId="928"/>
    <cellStyle name="Normal 8 6 3 2 2" xfId="1155"/>
    <cellStyle name="Normal 8 6 3 3" xfId="1042"/>
    <cellStyle name="Normal 8 6 4" xfId="854"/>
    <cellStyle name="Normal 8 6 4 2" xfId="1081"/>
    <cellStyle name="Normal 8 6 5" xfId="968"/>
    <cellStyle name="Normal 8 6 6" xfId="187"/>
    <cellStyle name="Normal 8 7" xfId="380"/>
    <cellStyle name="Normal 8 7 2" xfId="863"/>
    <cellStyle name="Normal 8 7 2 2" xfId="1090"/>
    <cellStyle name="Normal 8 7 3" xfId="977"/>
    <cellStyle name="Normal 8 7 4" xfId="638"/>
    <cellStyle name="Normal 8 8" xfId="374"/>
    <cellStyle name="Normal 8 8 2" xfId="900"/>
    <cellStyle name="Normal 8 8 2 2" xfId="1127"/>
    <cellStyle name="Normal 8 8 3" xfId="1014"/>
    <cellStyle name="Normal 8 8 4" xfId="174"/>
    <cellStyle name="Normal 8 9" xfId="826"/>
    <cellStyle name="Normal 8 9 2" xfId="1053"/>
    <cellStyle name="Normal 8_Capital Exp Received for 2013_2014" xfId="252"/>
    <cellStyle name="Normal 9" xfId="142"/>
    <cellStyle name="Normal 9 10" xfId="941"/>
    <cellStyle name="Normal 9 11" xfId="229"/>
    <cellStyle name="Normal 9 12" xfId="1452"/>
    <cellStyle name="Normal 9 2" xfId="381"/>
    <cellStyle name="Normal 9 2 2" xfId="665"/>
    <cellStyle name="Normal 9 2 2 2" xfId="673"/>
    <cellStyle name="Normal 9 2 3" xfId="203"/>
    <cellStyle name="Normal 9 2 4" xfId="633"/>
    <cellStyle name="Normal 9 2 5" xfId="209"/>
    <cellStyle name="Normal 9 2 6" xfId="1561"/>
    <cellStyle name="Normal 9 3" xfId="382"/>
    <cellStyle name="Normal 9 3 2" xfId="251"/>
    <cellStyle name="Normal 9 3 3" xfId="704"/>
    <cellStyle name="Normal 9 4" xfId="383"/>
    <cellStyle name="Normal 9 4 2" xfId="813"/>
    <cellStyle name="Normal 9 5" xfId="384"/>
    <cellStyle name="Normal 9 5 2" xfId="185"/>
    <cellStyle name="Normal 9 5 2 2" xfId="872"/>
    <cellStyle name="Normal 9 5 2 2 2" xfId="1099"/>
    <cellStyle name="Normal 9 5 2 3" xfId="986"/>
    <cellStyle name="Normal 9 5 3" xfId="691"/>
    <cellStyle name="Normal 9 5 3 2" xfId="909"/>
    <cellStyle name="Normal 9 5 3 2 2" xfId="1136"/>
    <cellStyle name="Normal 9 5 3 3" xfId="1023"/>
    <cellStyle name="Normal 9 5 4" xfId="835"/>
    <cellStyle name="Normal 9 5 4 2" xfId="1062"/>
    <cellStyle name="Normal 9 5 5" xfId="949"/>
    <cellStyle name="Normal 9 5 6" xfId="625"/>
    <cellStyle name="Normal 9 6" xfId="385"/>
    <cellStyle name="Normal 9 6 2" xfId="634"/>
    <cellStyle name="Normal 9 7" xfId="386"/>
    <cellStyle name="Normal 9 7 2" xfId="864"/>
    <cellStyle name="Normal 9 7 2 2" xfId="1091"/>
    <cellStyle name="Normal 9 7 3" xfId="978"/>
    <cellStyle name="Normal 9 7 4" xfId="589"/>
    <cellStyle name="Normal 9 8" xfId="273"/>
    <cellStyle name="Normal 9 8 2" xfId="901"/>
    <cellStyle name="Normal 9 8 2 2" xfId="1128"/>
    <cellStyle name="Normal 9 8 3" xfId="1015"/>
    <cellStyle name="Normal 9 8 4" xfId="809"/>
    <cellStyle name="Normal 9 9" xfId="827"/>
    <cellStyle name="Normal 9 9 2" xfId="1054"/>
    <cellStyle name="Normal 9_Capital Exp Received for 2013_2014" xfId="208"/>
    <cellStyle name="Note" xfId="17" builtinId="10" customBuiltin="1"/>
    <cellStyle name="Note 2" xfId="143"/>
    <cellStyle name="Note 2 10" xfId="1343"/>
    <cellStyle name="Note 2 10 2" xfId="1525"/>
    <cellStyle name="Note 2 2" xfId="1193"/>
    <cellStyle name="Note 2 2 2" xfId="1302"/>
    <cellStyle name="Note 2 2 3" xfId="1562"/>
    <cellStyle name="Note 2 3" xfId="1235"/>
    <cellStyle name="Note 2 3 2" xfId="1330"/>
    <cellStyle name="Note 2 4" xfId="1227"/>
    <cellStyle name="Note 2 4 2" xfId="1325"/>
    <cellStyle name="Note 2 5" xfId="1190"/>
    <cellStyle name="Note 2 5 2" xfId="1300"/>
    <cellStyle name="Note 2 6" xfId="1230"/>
    <cellStyle name="Note 2 6 2" xfId="1326"/>
    <cellStyle name="Note 2 7" xfId="1215"/>
    <cellStyle name="Note 2 7 2" xfId="1317"/>
    <cellStyle name="Note 2 8" xfId="1279"/>
    <cellStyle name="Note 2 9" xfId="666"/>
    <cellStyle name="Note 2 9 2" xfId="1459"/>
    <cellStyle name="Note 3" xfId="144"/>
    <cellStyle name="Note 3 2" xfId="1572"/>
    <cellStyle name="OrigenAccount" xfId="592"/>
    <cellStyle name="OrigenActivity" xfId="593"/>
    <cellStyle name="OrigenColumnHdg" xfId="669"/>
    <cellStyle name="OrigenCostCentre" xfId="801"/>
    <cellStyle name="OrigenEntity" xfId="749"/>
    <cellStyle name="OrigenGroup" xfId="191"/>
    <cellStyle name="OrigenJob" xfId="595"/>
    <cellStyle name="OrigenLevel" xfId="596"/>
    <cellStyle name="OrigenPeriod" xfId="597"/>
    <cellStyle name="OrigenPostingCode" xfId="807"/>
    <cellStyle name="OrigenPostingCode 2" xfId="168"/>
    <cellStyle name="OrigenPostingCode_Capital Exp Received for 2013_2014" xfId="731"/>
    <cellStyle name="OrigenSubJob" xfId="192"/>
    <cellStyle name="OrigenTitle" xfId="707"/>
    <cellStyle name="OrigenTotals" xfId="734"/>
    <cellStyle name="Output" xfId="12" builtinId="21" customBuiltin="1"/>
    <cellStyle name="Output 2" xfId="145"/>
    <cellStyle name="Output 2 10" xfId="250"/>
    <cellStyle name="Output 2 10 2" xfId="1526"/>
    <cellStyle name="Output 2 2" xfId="266"/>
    <cellStyle name="Output 2 2 2" xfId="1195"/>
    <cellStyle name="Output 2 2 2 2" xfId="1304"/>
    <cellStyle name="Output 2 2 3" xfId="1236"/>
    <cellStyle name="Output 2 2 3 2" xfId="1331"/>
    <cellStyle name="Output 2 2 4" xfId="1161"/>
    <cellStyle name="Output 2 2 4 2" xfId="1292"/>
    <cellStyle name="Output 2 2 5" xfId="1191"/>
    <cellStyle name="Output 2 2 5 2" xfId="1301"/>
    <cellStyle name="Output 2 2 6" xfId="1197"/>
    <cellStyle name="Output 2 2 6 2" xfId="1306"/>
    <cellStyle name="Output 2 2 7" xfId="1182"/>
    <cellStyle name="Output 2 2 7 2" xfId="1295"/>
    <cellStyle name="Output 2 2 8" xfId="1281"/>
    <cellStyle name="Output 2 3" xfId="1194"/>
    <cellStyle name="Output 2 3 2" xfId="1303"/>
    <cellStyle name="Output 2 4" xfId="1219"/>
    <cellStyle name="Output 2 4 2" xfId="1320"/>
    <cellStyle name="Output 2 5" xfId="1233"/>
    <cellStyle name="Output 2 5 2" xfId="1329"/>
    <cellStyle name="Output 2 6" xfId="1184"/>
    <cellStyle name="Output 2 6 2" xfId="1296"/>
    <cellStyle name="Output 2 7" xfId="1168"/>
    <cellStyle name="Output 2 7 2" xfId="1294"/>
    <cellStyle name="Output 2 8" xfId="1232"/>
    <cellStyle name="Output 2 8 2" xfId="1328"/>
    <cellStyle name="Output 2 9" xfId="1280"/>
    <cellStyle name="Output 3" xfId="660"/>
    <cellStyle name="Output 3 2" xfId="1196"/>
    <cellStyle name="Output 3 2 2" xfId="1305"/>
    <cellStyle name="Output 3 3" xfId="1218"/>
    <cellStyle name="Output 3 3 2" xfId="1319"/>
    <cellStyle name="Output 3 4" xfId="1220"/>
    <cellStyle name="Output 3 4 2" xfId="1321"/>
    <cellStyle name="Output 3 5" xfId="1202"/>
    <cellStyle name="Output 3 5 2" xfId="1310"/>
    <cellStyle name="Output 3 6" xfId="1186"/>
    <cellStyle name="Output 3 6 2" xfId="1297"/>
    <cellStyle name="Output 3 7" xfId="1162"/>
    <cellStyle name="Output 3 7 2" xfId="1293"/>
    <cellStyle name="Output 3 8" xfId="1282"/>
    <cellStyle name="Percent" xfId="1" builtinId="5"/>
    <cellStyle name="Percent 2" xfId="146"/>
    <cellStyle name="Percent 2 2" xfId="147"/>
    <cellStyle name="Percent 2 2 2" xfId="538"/>
    <cellStyle name="Percent 2 2 2 2" xfId="1425"/>
    <cellStyle name="Percent 2 2 2 3" xfId="1588"/>
    <cellStyle name="Percent 2 3" xfId="148"/>
    <cellStyle name="Percent 2 3 2" xfId="1527"/>
    <cellStyle name="Percent 2 3 3" xfId="1359"/>
    <cellStyle name="Percent 2 4" xfId="419"/>
    <cellStyle name="Percent 2 4 2" xfId="1566"/>
    <cellStyle name="Percent 3" xfId="149"/>
    <cellStyle name="Percent 3 2" xfId="150"/>
    <cellStyle name="Percent 3 2 2" xfId="184"/>
    <cellStyle name="Percent 3 2 2 2" xfId="873"/>
    <cellStyle name="Percent 3 2 2 2 2" xfId="1100"/>
    <cellStyle name="Percent 3 2 2 3" xfId="987"/>
    <cellStyle name="Percent 3 2 2 4" xfId="1440"/>
    <cellStyle name="Percent 3 2 2 5" xfId="1426"/>
    <cellStyle name="Percent 3 2 2 6" xfId="1589"/>
    <cellStyle name="Percent 3 2 3" xfId="721"/>
    <cellStyle name="Percent 3 2 3 2" xfId="910"/>
    <cellStyle name="Percent 3 2 3 2 2" xfId="1137"/>
    <cellStyle name="Percent 3 2 3 3" xfId="1024"/>
    <cellStyle name="Percent 3 2 4" xfId="836"/>
    <cellStyle name="Percent 3 2 4 2" xfId="1063"/>
    <cellStyle name="Percent 3 2 5" xfId="950"/>
    <cellStyle name="Percent 3 2 6" xfId="626"/>
    <cellStyle name="Percent 3 2 7" xfId="1528"/>
    <cellStyle name="Percent 3 2 8" xfId="1367"/>
    <cellStyle name="Percent 3 3" xfId="151"/>
    <cellStyle name="Percent 3 3 2" xfId="180"/>
    <cellStyle name="Percent 3 3 2 2" xfId="892"/>
    <cellStyle name="Percent 3 3 2 2 2" xfId="1119"/>
    <cellStyle name="Percent 3 3 2 3" xfId="1006"/>
    <cellStyle name="Percent 3 3 2 4" xfId="1443"/>
    <cellStyle name="Percent 3 3 2 5" xfId="1427"/>
    <cellStyle name="Percent 3 3 2 6" xfId="1593"/>
    <cellStyle name="Percent 3 3 3" xfId="816"/>
    <cellStyle name="Percent 3 3 3 2" xfId="929"/>
    <cellStyle name="Percent 3 3 3 2 2" xfId="1156"/>
    <cellStyle name="Percent 3 3 3 3" xfId="1043"/>
    <cellStyle name="Percent 3 3 4" xfId="855"/>
    <cellStyle name="Percent 3 3 4 2" xfId="1082"/>
    <cellStyle name="Percent 3 3 5" xfId="969"/>
    <cellStyle name="Percent 3 3 6" xfId="635"/>
    <cellStyle name="Percent 3 4" xfId="543"/>
    <cellStyle name="Percent 3 4 2" xfId="865"/>
    <cellStyle name="Percent 3 4 2 2" xfId="1092"/>
    <cellStyle name="Percent 3 4 3" xfId="979"/>
    <cellStyle name="Percent 3 4 4" xfId="639"/>
    <cellStyle name="Percent 3 4 5" xfId="1567"/>
    <cellStyle name="Percent 3 5" xfId="173"/>
    <cellStyle name="Percent 3 5 2" xfId="902"/>
    <cellStyle name="Percent 3 5 2 2" xfId="1129"/>
    <cellStyle name="Percent 3 5 3" xfId="1016"/>
    <cellStyle name="Percent 3 6" xfId="828"/>
    <cellStyle name="Percent 3 6 2" xfId="1055"/>
    <cellStyle name="Percent 3 7" xfId="942"/>
    <cellStyle name="Percent 3 8" xfId="758"/>
    <cellStyle name="Percent 3 9" xfId="1366"/>
    <cellStyle name="Percent 4" xfId="152"/>
    <cellStyle name="Percent 4 2" xfId="179"/>
    <cellStyle name="Percent 4 2 2" xfId="893"/>
    <cellStyle name="Percent 4 2 2 2" xfId="1120"/>
    <cellStyle name="Percent 4 2 3" xfId="1007"/>
    <cellStyle name="Percent 4 3" xfId="817"/>
    <cellStyle name="Percent 4 3 2" xfId="930"/>
    <cellStyle name="Percent 4 3 2 2" xfId="1157"/>
    <cellStyle name="Percent 4 3 3" xfId="1044"/>
    <cellStyle name="Percent 4 4" xfId="856"/>
    <cellStyle name="Percent 4 4 2" xfId="1083"/>
    <cellStyle name="Percent 4 5" xfId="970"/>
    <cellStyle name="Percent 5" xfId="153"/>
    <cellStyle name="Percent 5 2" xfId="178"/>
    <cellStyle name="Percent 5 2 2" xfId="894"/>
    <cellStyle name="Percent 5 2 2 2" xfId="1121"/>
    <cellStyle name="Percent 5 2 3" xfId="1008"/>
    <cellStyle name="Percent 5 2 4" xfId="1571"/>
    <cellStyle name="Percent 5 3" xfId="818"/>
    <cellStyle name="Percent 5 3 2" xfId="931"/>
    <cellStyle name="Percent 5 3 2 2" xfId="1158"/>
    <cellStyle name="Percent 5 3 3" xfId="1045"/>
    <cellStyle name="Percent 5 4" xfId="857"/>
    <cellStyle name="Percent 5 4 2" xfId="1084"/>
    <cellStyle name="Percent 5 5" xfId="971"/>
    <cellStyle name="Percent 5 6" xfId="636"/>
    <cellStyle name="Percent 5 6 2" xfId="1529"/>
    <cellStyle name="Referenced" xfId="420"/>
    <cellStyle name="Referenced 2" xfId="451"/>
    <cellStyle name="Referenced 3" xfId="478"/>
    <cellStyle name="Referenced 4" xfId="506"/>
    <cellStyle name="Referenced 5" xfId="533"/>
    <cellStyle name="rpm" xfId="421"/>
    <cellStyle name="rpm 2" xfId="452"/>
    <cellStyle name="rpm 3" xfId="479"/>
    <cellStyle name="rpm 4" xfId="507"/>
    <cellStyle name="rpm 5" xfId="534"/>
    <cellStyle name="Style1" xfId="154"/>
    <cellStyle name="Style3" xfId="155"/>
    <cellStyle name="Style5" xfId="156"/>
    <cellStyle name="Style7" xfId="157"/>
    <cellStyle name="Style7 2" xfId="1530"/>
    <cellStyle name="Title" xfId="3" builtinId="15" customBuiltin="1"/>
    <cellStyle name="Title 2" xfId="620"/>
    <cellStyle name="Title 2 2" xfId="587"/>
    <cellStyle name="Title 3" xfId="585"/>
    <cellStyle name="Total" xfId="19" builtinId="25" customBuiltin="1"/>
    <cellStyle name="Total 2" xfId="158"/>
    <cellStyle name="Total 2 10" xfId="586"/>
    <cellStyle name="Total 2 10 2" xfId="1531"/>
    <cellStyle name="Total 2 2" xfId="800"/>
    <cellStyle name="Total 2 2 2" xfId="1199"/>
    <cellStyle name="Total 2 2 2 2" xfId="1308"/>
    <cellStyle name="Total 2 2 3" xfId="1212"/>
    <cellStyle name="Total 2 2 3 2" xfId="1315"/>
    <cellStyle name="Total 2 2 4" xfId="1207"/>
    <cellStyle name="Total 2 2 4 2" xfId="1312"/>
    <cellStyle name="Total 2 2 5" xfId="1216"/>
    <cellStyle name="Total 2 2 5 2" xfId="1318"/>
    <cellStyle name="Total 2 2 6" xfId="1209"/>
    <cellStyle name="Total 2 2 6 2" xfId="1313"/>
    <cellStyle name="Total 2 2 7" xfId="1239"/>
    <cellStyle name="Total 2 2 7 2" xfId="1332"/>
    <cellStyle name="Total 2 2 8" xfId="1284"/>
    <cellStyle name="Total 2 3" xfId="1198"/>
    <cellStyle name="Total 2 3 2" xfId="1307"/>
    <cellStyle name="Total 2 4" xfId="1225"/>
    <cellStyle name="Total 2 4 2" xfId="1324"/>
    <cellStyle name="Total 2 5" xfId="1210"/>
    <cellStyle name="Total 2 5 2" xfId="1314"/>
    <cellStyle name="Total 2 6" xfId="1214"/>
    <cellStyle name="Total 2 6 2" xfId="1316"/>
    <cellStyle name="Total 2 7" xfId="1203"/>
    <cellStyle name="Total 2 7 2" xfId="1311"/>
    <cellStyle name="Total 2 8" xfId="1221"/>
    <cellStyle name="Total 2 8 2" xfId="1322"/>
    <cellStyle name="Total 2 9" xfId="1283"/>
    <cellStyle name="Total 3" xfId="249"/>
    <cellStyle name="Total 3 2" xfId="1200"/>
    <cellStyle name="Total 3 2 2" xfId="1309"/>
    <cellStyle name="Total 3 3" xfId="1231"/>
    <cellStyle name="Total 3 3 2" xfId="1327"/>
    <cellStyle name="Total 3 4" xfId="1187"/>
    <cellStyle name="Total 3 4 2" xfId="1298"/>
    <cellStyle name="Total 3 5" xfId="1188"/>
    <cellStyle name="Total 3 5 2" xfId="1299"/>
    <cellStyle name="Total 3 6" xfId="1224"/>
    <cellStyle name="Total 3 6 2" xfId="1323"/>
    <cellStyle name="Total 3 7" xfId="1241"/>
    <cellStyle name="Total 3 7 2" xfId="1333"/>
    <cellStyle name="Total 3 8" xfId="1285"/>
    <cellStyle name="Warning Text" xfId="16" builtinId="11" customBuiltin="1"/>
    <cellStyle name="Warning Text 2" xfId="159"/>
    <cellStyle name="Warning Text 2 2" xfId="661"/>
    <cellStyle name="Warning Text 2 3" xfId="165"/>
    <cellStyle name="Warning Text 2 3 2" xfId="1532"/>
    <cellStyle name="Warning Text 3" xfId="66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WTP%20Michael%202016-17\2015-16%20ADC%20Audi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Water supply"/>
      <sheetName val="Wastewater"/>
      <sheetName val="Stormwater"/>
      <sheetName val="Data Confidence"/>
      <sheetName val="DIA Align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258"/>
  <sheetViews>
    <sheetView tabSelected="1" zoomScale="80" zoomScaleNormal="80" workbookViewId="0">
      <selection activeCell="C8" sqref="C8"/>
    </sheetView>
  </sheetViews>
  <sheetFormatPr defaultRowHeight="15"/>
  <cols>
    <col min="1" max="2" width="42.140625" style="1" customWidth="1"/>
    <col min="3" max="3" width="42.140625" style="11" customWidth="1"/>
    <col min="4" max="4" width="45.28515625" style="1" customWidth="1"/>
    <col min="5" max="5" width="28" style="14" customWidth="1"/>
    <col min="6" max="6" width="18.5703125" style="10" customWidth="1"/>
    <col min="7" max="7" width="35.28515625" style="1" customWidth="1"/>
    <col min="8" max="8" width="18.42578125" style="1" customWidth="1"/>
    <col min="9" max="9" width="24.5703125" style="1" customWidth="1"/>
    <col min="10" max="10" width="24.5703125" style="10" customWidth="1"/>
    <col min="11" max="11" width="10.140625" style="15" customWidth="1"/>
    <col min="12" max="12" width="18.28515625" style="10" customWidth="1"/>
    <col min="13" max="13" width="13.28515625" style="15" customWidth="1"/>
    <col min="14" max="14" width="17.5703125" style="10" customWidth="1"/>
    <col min="15" max="15" width="10.140625" style="5" customWidth="1"/>
    <col min="16" max="16" width="15.28515625" style="10" customWidth="1"/>
    <col min="17" max="17" width="10.140625" style="5" customWidth="1"/>
    <col min="18" max="18" width="17.42578125" style="10" customWidth="1"/>
    <col min="19" max="19" width="10.140625" style="1" customWidth="1"/>
    <col min="20" max="20" width="13" style="15" customWidth="1"/>
    <col min="21" max="21" width="16.7109375" style="10" customWidth="1"/>
    <col min="22" max="22" width="18.28515625" style="1" customWidth="1"/>
    <col min="23" max="23" width="19" style="1" customWidth="1"/>
    <col min="24" max="24" width="15.28515625" style="155" customWidth="1"/>
    <col min="25" max="25" width="18.28515625" style="1" customWidth="1"/>
    <col min="26" max="26" width="18.28515625" style="6" customWidth="1"/>
    <col min="27" max="28" width="22.7109375" style="10" customWidth="1"/>
    <col min="29" max="29" width="12.5703125" style="1" customWidth="1"/>
    <col min="30" max="30" width="9.140625" style="4"/>
    <col min="31" max="31" width="17.28515625" style="14" customWidth="1"/>
    <col min="32" max="32" width="10.28515625" style="4" bestFit="1" customWidth="1"/>
    <col min="33" max="33" width="14" style="14" customWidth="1"/>
    <col min="34" max="34" width="9.140625" style="4"/>
    <col min="35" max="35" width="18" style="10" customWidth="1"/>
    <col min="36" max="37" width="9.140625" style="1" hidden="1" customWidth="1"/>
    <col min="38" max="38" width="15.140625" style="4" customWidth="1"/>
    <col min="39" max="39" width="11.85546875" style="10" customWidth="1"/>
    <col min="40" max="16384" width="9.140625" style="1"/>
  </cols>
  <sheetData>
    <row r="1" spans="1:56">
      <c r="A1" s="169" t="s">
        <v>32</v>
      </c>
      <c r="B1" s="169" t="s">
        <v>315</v>
      </c>
      <c r="C1" s="169" t="s">
        <v>475</v>
      </c>
      <c r="D1" s="169" t="s">
        <v>26</v>
      </c>
      <c r="E1" s="204" t="s">
        <v>28</v>
      </c>
      <c r="F1" s="205"/>
      <c r="G1" s="206"/>
      <c r="H1" s="169" t="s">
        <v>30</v>
      </c>
      <c r="I1" s="202" t="s">
        <v>1</v>
      </c>
      <c r="J1" s="202"/>
      <c r="K1" s="201" t="s">
        <v>3</v>
      </c>
      <c r="L1" s="202"/>
      <c r="M1" s="202"/>
      <c r="N1" s="202"/>
      <c r="O1" s="202"/>
      <c r="P1" s="202"/>
      <c r="Q1" s="202"/>
      <c r="R1" s="202"/>
      <c r="S1" s="203"/>
      <c r="T1" s="172" t="s">
        <v>7</v>
      </c>
      <c r="U1" s="174" t="s">
        <v>10</v>
      </c>
      <c r="V1" s="207" t="s">
        <v>13</v>
      </c>
      <c r="W1" s="208"/>
      <c r="X1" s="208"/>
      <c r="Y1" s="208"/>
      <c r="Z1" s="209"/>
      <c r="AA1" s="204" t="s">
        <v>17</v>
      </c>
      <c r="AB1" s="206"/>
      <c r="AC1" s="201" t="s">
        <v>19</v>
      </c>
      <c r="AD1" s="202"/>
      <c r="AE1" s="202"/>
      <c r="AF1" s="202"/>
      <c r="AG1" s="202"/>
      <c r="AH1" s="202"/>
      <c r="AI1" s="202"/>
      <c r="AJ1" s="202"/>
      <c r="AK1" s="202"/>
      <c r="AL1" s="202"/>
      <c r="AM1" s="203"/>
      <c r="AN1" s="49"/>
    </row>
    <row r="2" spans="1:56" ht="15.75" thickBot="1">
      <c r="A2" s="171"/>
      <c r="B2" s="171"/>
      <c r="C2" s="171"/>
      <c r="D2" s="170" t="s">
        <v>27</v>
      </c>
      <c r="E2" s="198" t="s">
        <v>29</v>
      </c>
      <c r="F2" s="199"/>
      <c r="G2" s="200"/>
      <c r="H2" s="170" t="s">
        <v>31</v>
      </c>
      <c r="I2" s="195" t="s">
        <v>2</v>
      </c>
      <c r="J2" s="197"/>
      <c r="K2" s="195" t="s">
        <v>4</v>
      </c>
      <c r="L2" s="196"/>
      <c r="M2" s="196"/>
      <c r="N2" s="196"/>
      <c r="O2" s="196"/>
      <c r="P2" s="196"/>
      <c r="Q2" s="196"/>
      <c r="R2" s="196"/>
      <c r="S2" s="197"/>
      <c r="T2" s="173" t="s">
        <v>8</v>
      </c>
      <c r="U2" s="175" t="s">
        <v>11</v>
      </c>
      <c r="V2" s="192" t="s">
        <v>14</v>
      </c>
      <c r="W2" s="193"/>
      <c r="X2" s="193"/>
      <c r="Y2" s="193"/>
      <c r="Z2" s="194"/>
      <c r="AA2" s="198" t="s">
        <v>18</v>
      </c>
      <c r="AB2" s="200"/>
      <c r="AC2" s="192" t="s">
        <v>20</v>
      </c>
      <c r="AD2" s="193"/>
      <c r="AE2" s="193"/>
      <c r="AF2" s="193"/>
      <c r="AG2" s="193"/>
      <c r="AH2" s="193"/>
      <c r="AI2" s="193"/>
      <c r="AJ2" s="193"/>
      <c r="AK2" s="193"/>
      <c r="AL2" s="193"/>
      <c r="AM2" s="194"/>
      <c r="AN2" s="45"/>
    </row>
    <row r="3" spans="1:56">
      <c r="A3" s="47"/>
      <c r="B3" s="45"/>
      <c r="C3" s="45"/>
      <c r="D3" s="45"/>
      <c r="E3" s="50" t="s">
        <v>309</v>
      </c>
      <c r="F3" s="50" t="s">
        <v>310</v>
      </c>
      <c r="G3" s="50" t="s">
        <v>317</v>
      </c>
      <c r="H3" s="45"/>
      <c r="I3" s="46" t="s">
        <v>414</v>
      </c>
      <c r="J3" s="50" t="s">
        <v>415</v>
      </c>
      <c r="K3" s="46" t="s">
        <v>5</v>
      </c>
      <c r="L3" s="50" t="s">
        <v>311</v>
      </c>
      <c r="M3" s="46" t="s">
        <v>6</v>
      </c>
      <c r="N3" s="50" t="s">
        <v>312</v>
      </c>
      <c r="O3" s="46" t="s">
        <v>418</v>
      </c>
      <c r="P3" s="50" t="s">
        <v>420</v>
      </c>
      <c r="Q3" s="46" t="s">
        <v>419</v>
      </c>
      <c r="R3" s="50" t="s">
        <v>421</v>
      </c>
      <c r="S3" s="46" t="s">
        <v>313</v>
      </c>
      <c r="T3" s="46" t="s">
        <v>9</v>
      </c>
      <c r="U3" s="50" t="s">
        <v>12</v>
      </c>
      <c r="V3" s="45" t="s">
        <v>15</v>
      </c>
      <c r="W3" s="45" t="s">
        <v>316</v>
      </c>
      <c r="X3" s="155" t="s">
        <v>16</v>
      </c>
      <c r="Y3" s="17"/>
      <c r="Z3" s="25" t="s">
        <v>314</v>
      </c>
      <c r="AA3" s="50" t="s">
        <v>416</v>
      </c>
      <c r="AB3" s="50" t="s">
        <v>417</v>
      </c>
      <c r="AC3" s="45" t="s">
        <v>21</v>
      </c>
      <c r="AD3" s="167" t="s">
        <v>22</v>
      </c>
      <c r="AE3" s="50"/>
      <c r="AF3" s="167" t="s">
        <v>23</v>
      </c>
      <c r="AG3" s="168"/>
      <c r="AH3" s="46" t="s">
        <v>24</v>
      </c>
      <c r="AI3" s="50"/>
      <c r="AJ3" s="45"/>
      <c r="AK3" s="45"/>
      <c r="AL3" s="167" t="s">
        <v>25</v>
      </c>
      <c r="AM3" s="26"/>
      <c r="AN3" s="49"/>
    </row>
    <row r="4" spans="1:56" ht="15" customHeight="1">
      <c r="A4" s="55" t="s">
        <v>224</v>
      </c>
      <c r="B4" s="22" t="s">
        <v>383</v>
      </c>
      <c r="C4" s="24" t="s">
        <v>476</v>
      </c>
      <c r="D4" s="24" t="s">
        <v>221</v>
      </c>
      <c r="E4" s="176">
        <v>5134066.66</v>
      </c>
      <c r="F4" s="27">
        <v>1500371.95</v>
      </c>
      <c r="G4" s="21"/>
      <c r="H4" s="21" t="s">
        <v>54</v>
      </c>
      <c r="I4" s="56">
        <v>2422208</v>
      </c>
      <c r="J4" s="33">
        <v>3529932.93</v>
      </c>
      <c r="K4" s="34">
        <v>0</v>
      </c>
      <c r="L4" s="33">
        <f>I4*K4</f>
        <v>0</v>
      </c>
      <c r="M4" s="34">
        <v>1</v>
      </c>
      <c r="N4" s="33">
        <f>I4*M4</f>
        <v>2422208</v>
      </c>
      <c r="O4" s="34">
        <v>0</v>
      </c>
      <c r="P4" s="33">
        <f t="shared" ref="P4:P67" si="0">I4*O4</f>
        <v>0</v>
      </c>
      <c r="Q4" s="34">
        <v>0</v>
      </c>
      <c r="R4" s="33">
        <f t="shared" ref="R4:R67" si="1">I4*Q4</f>
        <v>0</v>
      </c>
      <c r="S4" s="34">
        <f t="shared" ref="S4:S67" si="2">SUM(K4,M4,O4,Q4)</f>
        <v>1</v>
      </c>
      <c r="T4" s="34">
        <v>0</v>
      </c>
      <c r="U4" s="27">
        <v>5027666.25</v>
      </c>
      <c r="V4" s="35">
        <v>50951</v>
      </c>
      <c r="W4" s="54"/>
      <c r="X4" s="28">
        <v>50934</v>
      </c>
      <c r="Y4" s="72" t="s">
        <v>424</v>
      </c>
      <c r="Z4" s="57">
        <v>2039</v>
      </c>
      <c r="AA4" s="27">
        <v>17649.664650000002</v>
      </c>
      <c r="AB4" s="33">
        <v>17649.664649999999</v>
      </c>
      <c r="AC4" s="23"/>
      <c r="AD4" s="29">
        <v>1</v>
      </c>
      <c r="AE4" s="44">
        <f>AA4*AD4</f>
        <v>17649.664650000002</v>
      </c>
      <c r="AF4" s="34"/>
      <c r="AG4" s="33">
        <f>AA4*AF4</f>
        <v>0</v>
      </c>
      <c r="AH4" s="58"/>
      <c r="AI4" s="33">
        <f>AA4*AH4</f>
        <v>0</v>
      </c>
      <c r="AJ4" s="24"/>
      <c r="AK4" s="54">
        <f>AJ4*AA4</f>
        <v>0</v>
      </c>
      <c r="AL4" s="34"/>
      <c r="AM4" s="59">
        <f t="shared" ref="AM4:AM35" si="3">AA4*AL4</f>
        <v>0</v>
      </c>
      <c r="AN4" s="60" t="s">
        <v>395</v>
      </c>
      <c r="AO4" s="60"/>
      <c r="AP4" s="60"/>
      <c r="AQ4" s="60"/>
      <c r="AR4" s="60"/>
      <c r="AS4" s="60"/>
      <c r="AT4" s="60"/>
      <c r="AU4" s="60"/>
      <c r="AV4" s="49"/>
      <c r="AW4" s="49"/>
      <c r="AX4" s="49"/>
    </row>
    <row r="5" spans="1:56" ht="15" customHeight="1">
      <c r="A5" s="55" t="s">
        <v>224</v>
      </c>
      <c r="B5" s="22" t="s">
        <v>383</v>
      </c>
      <c r="C5" s="24" t="s">
        <v>476</v>
      </c>
      <c r="D5" s="95" t="s">
        <v>222</v>
      </c>
      <c r="E5" s="176">
        <v>5166675.9000000004</v>
      </c>
      <c r="F5" s="27">
        <v>1491968.91</v>
      </c>
      <c r="G5" s="21"/>
      <c r="H5" s="21" t="s">
        <v>54</v>
      </c>
      <c r="I5" s="21">
        <v>144749.82828000016</v>
      </c>
      <c r="J5" s="33">
        <v>123676.59</v>
      </c>
      <c r="K5" s="34">
        <v>0</v>
      </c>
      <c r="L5" s="33">
        <f>I5*K5</f>
        <v>0</v>
      </c>
      <c r="M5" s="34">
        <v>1</v>
      </c>
      <c r="N5" s="33">
        <f>I5*M5</f>
        <v>144749.82828000016</v>
      </c>
      <c r="O5" s="34">
        <v>0</v>
      </c>
      <c r="P5" s="33">
        <f t="shared" si="0"/>
        <v>0</v>
      </c>
      <c r="Q5" s="34">
        <v>0</v>
      </c>
      <c r="R5" s="33">
        <f t="shared" si="1"/>
        <v>0</v>
      </c>
      <c r="S5" s="34">
        <f t="shared" si="2"/>
        <v>1</v>
      </c>
      <c r="T5" s="34">
        <v>0</v>
      </c>
      <c r="U5" s="27">
        <v>5027666.25</v>
      </c>
      <c r="V5" s="24"/>
      <c r="W5" s="143">
        <v>49133</v>
      </c>
      <c r="X5" s="28">
        <v>49133</v>
      </c>
      <c r="Y5" s="151" t="s">
        <v>424</v>
      </c>
      <c r="Z5" s="57">
        <v>2034</v>
      </c>
      <c r="AA5" s="27">
        <v>618.38294999999994</v>
      </c>
      <c r="AB5" s="33">
        <v>618.38295000000005</v>
      </c>
      <c r="AC5" s="23"/>
      <c r="AD5" s="29">
        <v>1</v>
      </c>
      <c r="AE5" s="44">
        <f>AA5*AD5</f>
        <v>618.38294999999994</v>
      </c>
      <c r="AF5" s="34"/>
      <c r="AG5" s="33">
        <f>AA5*AF5</f>
        <v>0</v>
      </c>
      <c r="AH5" s="58"/>
      <c r="AI5" s="33">
        <f>AA5*AH5</f>
        <v>0</v>
      </c>
      <c r="AJ5" s="24"/>
      <c r="AK5" s="54">
        <f>AJ5*AA5</f>
        <v>0</v>
      </c>
      <c r="AL5" s="34"/>
      <c r="AM5" s="59">
        <f t="shared" si="3"/>
        <v>0</v>
      </c>
      <c r="AN5" s="61" t="s">
        <v>395</v>
      </c>
      <c r="AO5" s="61"/>
      <c r="AP5" s="61"/>
      <c r="AQ5" s="61"/>
      <c r="AR5" s="61"/>
      <c r="AS5" s="61"/>
      <c r="AT5" s="61"/>
      <c r="AU5" s="60"/>
      <c r="AV5" s="49"/>
      <c r="AW5" s="49"/>
      <c r="AX5" s="49"/>
    </row>
    <row r="6" spans="1:56" ht="15" customHeight="1">
      <c r="A6" s="55" t="s">
        <v>224</v>
      </c>
      <c r="B6" s="22" t="s">
        <v>383</v>
      </c>
      <c r="C6" s="24" t="s">
        <v>476</v>
      </c>
      <c r="D6" s="95" t="s">
        <v>223</v>
      </c>
      <c r="E6" s="176">
        <v>5153552.22</v>
      </c>
      <c r="F6" s="27">
        <v>1522701.19</v>
      </c>
      <c r="G6" s="21"/>
      <c r="H6" s="21" t="s">
        <v>54</v>
      </c>
      <c r="I6" s="21">
        <v>95092</v>
      </c>
      <c r="J6" s="33">
        <v>99005</v>
      </c>
      <c r="K6" s="34">
        <v>0</v>
      </c>
      <c r="L6" s="33">
        <f>I6*K6</f>
        <v>0</v>
      </c>
      <c r="M6" s="34">
        <v>1</v>
      </c>
      <c r="N6" s="33">
        <f>I6*M6</f>
        <v>95092</v>
      </c>
      <c r="O6" s="34">
        <v>0</v>
      </c>
      <c r="P6" s="33">
        <f t="shared" si="0"/>
        <v>0</v>
      </c>
      <c r="Q6" s="34">
        <v>0</v>
      </c>
      <c r="R6" s="33">
        <f t="shared" si="1"/>
        <v>0</v>
      </c>
      <c r="S6" s="34">
        <f t="shared" si="2"/>
        <v>1</v>
      </c>
      <c r="T6" s="34">
        <v>0</v>
      </c>
      <c r="U6" s="27">
        <v>5027666.25</v>
      </c>
      <c r="V6" s="35">
        <v>48661</v>
      </c>
      <c r="W6" s="143">
        <v>48649</v>
      </c>
      <c r="X6" s="28">
        <v>48649</v>
      </c>
      <c r="Y6" s="72" t="s">
        <v>424</v>
      </c>
      <c r="Z6" s="57">
        <v>2033</v>
      </c>
      <c r="AA6" s="27">
        <v>37.799999999999997</v>
      </c>
      <c r="AB6" s="33">
        <v>2697</v>
      </c>
      <c r="AC6" s="23"/>
      <c r="AD6" s="29"/>
      <c r="AE6" s="62">
        <f>AA6*AD6</f>
        <v>0</v>
      </c>
      <c r="AF6" s="34"/>
      <c r="AG6" s="33">
        <f>AA6*AF6</f>
        <v>0</v>
      </c>
      <c r="AH6" s="58"/>
      <c r="AI6" s="33">
        <f>AA6*AH6</f>
        <v>0</v>
      </c>
      <c r="AJ6" s="34">
        <v>1</v>
      </c>
      <c r="AK6" s="54">
        <f>AJ6*AA6</f>
        <v>37.799999999999997</v>
      </c>
      <c r="AL6" s="34">
        <v>1</v>
      </c>
      <c r="AM6" s="59">
        <f t="shared" si="3"/>
        <v>37.799999999999997</v>
      </c>
      <c r="AN6" s="30" t="s">
        <v>394</v>
      </c>
      <c r="AO6" s="60"/>
      <c r="AP6" s="60"/>
      <c r="AQ6" s="60"/>
      <c r="AR6" s="60"/>
      <c r="AS6" s="60"/>
      <c r="AT6" s="60"/>
      <c r="AU6" s="60"/>
      <c r="AV6" s="49"/>
      <c r="AW6" s="49"/>
      <c r="AX6" s="49"/>
    </row>
    <row r="7" spans="1:56" ht="15" customHeight="1">
      <c r="A7" s="53" t="s">
        <v>321</v>
      </c>
      <c r="B7" s="22" t="s">
        <v>383</v>
      </c>
      <c r="C7" s="24" t="s">
        <v>474</v>
      </c>
      <c r="D7" s="24" t="s">
        <v>322</v>
      </c>
      <c r="E7" s="177">
        <v>5417272</v>
      </c>
      <c r="F7" s="33">
        <v>1521891</v>
      </c>
      <c r="G7" s="33" t="s">
        <v>393</v>
      </c>
      <c r="H7" s="24" t="s">
        <v>54</v>
      </c>
      <c r="I7" s="33"/>
      <c r="J7" s="33">
        <v>18250</v>
      </c>
      <c r="K7" s="34">
        <v>1</v>
      </c>
      <c r="L7" s="33">
        <v>18250</v>
      </c>
      <c r="M7" s="34">
        <v>0</v>
      </c>
      <c r="N7" s="33">
        <v>0</v>
      </c>
      <c r="O7" s="34"/>
      <c r="P7" s="33">
        <f t="shared" si="0"/>
        <v>0</v>
      </c>
      <c r="Q7" s="34"/>
      <c r="R7" s="33">
        <f t="shared" si="1"/>
        <v>0</v>
      </c>
      <c r="S7" s="34">
        <f t="shared" si="2"/>
        <v>1</v>
      </c>
      <c r="T7" s="34">
        <v>0</v>
      </c>
      <c r="U7" s="33">
        <f>100*365</f>
        <v>36500</v>
      </c>
      <c r="V7" s="35"/>
      <c r="W7" s="54"/>
      <c r="X7" s="35"/>
      <c r="Y7" s="72"/>
      <c r="Z7" s="57"/>
      <c r="AA7" s="33"/>
      <c r="AB7" s="33"/>
      <c r="AC7" s="54"/>
      <c r="AD7" s="34"/>
      <c r="AE7" s="62"/>
      <c r="AF7" s="34"/>
      <c r="AG7" s="33"/>
      <c r="AH7" s="58"/>
      <c r="AI7" s="33"/>
      <c r="AJ7" s="24"/>
      <c r="AK7" s="54"/>
      <c r="AL7" s="34"/>
      <c r="AM7" s="59">
        <f t="shared" si="3"/>
        <v>0</v>
      </c>
      <c r="AN7" s="64"/>
      <c r="AO7" s="64"/>
      <c r="AP7" s="64"/>
      <c r="AQ7" s="64"/>
      <c r="AR7" s="64"/>
      <c r="AS7" s="64"/>
      <c r="AT7" s="64"/>
      <c r="AU7" s="22"/>
      <c r="AV7" s="45"/>
      <c r="AW7" s="45"/>
      <c r="AX7" s="45"/>
      <c r="AY7" s="13"/>
      <c r="AZ7" s="13"/>
      <c r="BA7" s="13"/>
      <c r="BB7" s="13"/>
      <c r="BC7" s="13"/>
      <c r="BD7" s="13"/>
    </row>
    <row r="8" spans="1:56" ht="15" customHeight="1">
      <c r="A8" s="53" t="s">
        <v>321</v>
      </c>
      <c r="B8" s="22" t="s">
        <v>383</v>
      </c>
      <c r="C8" s="24" t="s">
        <v>474</v>
      </c>
      <c r="D8" s="24" t="s">
        <v>323</v>
      </c>
      <c r="E8" s="177">
        <v>5337083</v>
      </c>
      <c r="F8" s="33">
        <v>1504923</v>
      </c>
      <c r="G8" s="33" t="s">
        <v>393</v>
      </c>
      <c r="H8" s="24" t="s">
        <v>37</v>
      </c>
      <c r="I8" s="33"/>
      <c r="J8" s="33">
        <v>292000</v>
      </c>
      <c r="K8" s="34">
        <v>1</v>
      </c>
      <c r="L8" s="33">
        <v>292000</v>
      </c>
      <c r="M8" s="34">
        <v>0</v>
      </c>
      <c r="N8" s="33">
        <v>0</v>
      </c>
      <c r="O8" s="34"/>
      <c r="P8" s="33">
        <f t="shared" si="0"/>
        <v>0</v>
      </c>
      <c r="Q8" s="34"/>
      <c r="R8" s="33">
        <f t="shared" si="1"/>
        <v>0</v>
      </c>
      <c r="S8" s="34">
        <f t="shared" si="2"/>
        <v>1</v>
      </c>
      <c r="T8" s="34">
        <v>0</v>
      </c>
      <c r="U8" s="33">
        <f>1000*365</f>
        <v>365000</v>
      </c>
      <c r="V8" s="35"/>
      <c r="W8" s="54"/>
      <c r="X8" s="35"/>
      <c r="Y8" s="72"/>
      <c r="Z8" s="57"/>
      <c r="AA8" s="33"/>
      <c r="AB8" s="33"/>
      <c r="AC8" s="54"/>
      <c r="AD8" s="34"/>
      <c r="AE8" s="62"/>
      <c r="AF8" s="34"/>
      <c r="AG8" s="33"/>
      <c r="AH8" s="58"/>
      <c r="AI8" s="33"/>
      <c r="AJ8" s="24"/>
      <c r="AK8" s="54"/>
      <c r="AL8" s="34"/>
      <c r="AM8" s="59">
        <f t="shared" si="3"/>
        <v>0</v>
      </c>
      <c r="AN8" s="64"/>
      <c r="AO8" s="64"/>
      <c r="AP8" s="64"/>
      <c r="AQ8" s="64"/>
      <c r="AR8" s="64"/>
      <c r="AS8" s="64"/>
      <c r="AT8" s="64"/>
      <c r="AU8" s="22"/>
      <c r="AV8" s="45"/>
      <c r="AW8" s="45"/>
      <c r="AX8" s="45"/>
      <c r="AY8" s="13"/>
      <c r="AZ8" s="13"/>
      <c r="BA8" s="13"/>
      <c r="BB8" s="13"/>
      <c r="BC8" s="13"/>
      <c r="BD8" s="13"/>
    </row>
    <row r="9" spans="1:56" ht="15" customHeight="1">
      <c r="A9" s="53" t="s">
        <v>321</v>
      </c>
      <c r="B9" s="22" t="s">
        <v>383</v>
      </c>
      <c r="C9" s="24" t="s">
        <v>476</v>
      </c>
      <c r="D9" s="24" t="s">
        <v>324</v>
      </c>
      <c r="E9" s="176">
        <v>5375161</v>
      </c>
      <c r="F9" s="27">
        <v>1482791</v>
      </c>
      <c r="G9" s="65" t="s">
        <v>408</v>
      </c>
      <c r="H9" s="24" t="s">
        <v>37</v>
      </c>
      <c r="I9" s="33">
        <f>2500*365</f>
        <v>912500</v>
      </c>
      <c r="J9" s="33">
        <v>912500</v>
      </c>
      <c r="K9" s="34">
        <v>1</v>
      </c>
      <c r="L9" s="33">
        <v>912500</v>
      </c>
      <c r="M9" s="34">
        <v>0</v>
      </c>
      <c r="N9" s="33">
        <v>0</v>
      </c>
      <c r="O9" s="34">
        <v>0</v>
      </c>
      <c r="P9" s="33">
        <f t="shared" si="0"/>
        <v>0</v>
      </c>
      <c r="Q9" s="34">
        <v>0</v>
      </c>
      <c r="R9" s="33">
        <f t="shared" si="1"/>
        <v>0</v>
      </c>
      <c r="S9" s="34">
        <f t="shared" si="2"/>
        <v>1</v>
      </c>
      <c r="T9" s="34"/>
      <c r="U9" s="33">
        <f>12500*365</f>
        <v>4562500</v>
      </c>
      <c r="V9" s="28">
        <v>50609</v>
      </c>
      <c r="W9" s="144">
        <v>50609</v>
      </c>
      <c r="X9" s="28">
        <v>50609</v>
      </c>
      <c r="Y9" s="22" t="s">
        <v>424</v>
      </c>
      <c r="Z9" s="57">
        <v>2038</v>
      </c>
      <c r="AA9" s="27">
        <v>500</v>
      </c>
      <c r="AB9" s="33"/>
      <c r="AC9" s="54"/>
      <c r="AD9" s="34">
        <v>0</v>
      </c>
      <c r="AE9" s="62">
        <f t="shared" ref="AE9:AE40" si="4">AA9*AD9</f>
        <v>0</v>
      </c>
      <c r="AF9" s="34">
        <v>0</v>
      </c>
      <c r="AG9" s="33">
        <f t="shared" ref="AG9:AG40" si="5">AA9*AF9</f>
        <v>0</v>
      </c>
      <c r="AH9" s="58">
        <v>1</v>
      </c>
      <c r="AI9" s="33">
        <f t="shared" ref="AI9:AI40" si="6">AA9*AH9</f>
        <v>500</v>
      </c>
      <c r="AJ9" s="24"/>
      <c r="AK9" s="54"/>
      <c r="AL9" s="34">
        <v>0</v>
      </c>
      <c r="AM9" s="59">
        <f t="shared" si="3"/>
        <v>0</v>
      </c>
      <c r="AN9" s="60"/>
      <c r="AO9" s="60"/>
      <c r="AP9" s="60"/>
      <c r="AQ9" s="60"/>
      <c r="AR9" s="60"/>
      <c r="AS9" s="60"/>
      <c r="AT9" s="60"/>
      <c r="AU9" s="60"/>
      <c r="AV9" s="49"/>
      <c r="AW9" s="49"/>
      <c r="AX9" s="49"/>
    </row>
    <row r="10" spans="1:56" ht="15" customHeight="1">
      <c r="A10" s="55" t="s">
        <v>501</v>
      </c>
      <c r="B10" s="22" t="s">
        <v>383</v>
      </c>
      <c r="C10" s="24" t="s">
        <v>476</v>
      </c>
      <c r="D10" s="34" t="s">
        <v>193</v>
      </c>
      <c r="E10" s="178">
        <v>4981491.2</v>
      </c>
      <c r="F10" s="165">
        <v>1317481.7</v>
      </c>
      <c r="G10" s="18"/>
      <c r="H10" s="34" t="s">
        <v>54</v>
      </c>
      <c r="I10" s="20">
        <v>469391</v>
      </c>
      <c r="J10" s="33">
        <v>389778</v>
      </c>
      <c r="K10" s="34">
        <v>1</v>
      </c>
      <c r="L10" s="33">
        <f t="shared" ref="L10:L23" si="7">I10*K10</f>
        <v>469391</v>
      </c>
      <c r="M10" s="34">
        <v>0</v>
      </c>
      <c r="N10" s="33">
        <f t="shared" ref="N10:N23" si="8">I10*M10</f>
        <v>0</v>
      </c>
      <c r="O10" s="34">
        <v>0</v>
      </c>
      <c r="P10" s="33">
        <f t="shared" si="0"/>
        <v>0</v>
      </c>
      <c r="Q10" s="34">
        <v>0</v>
      </c>
      <c r="R10" s="33">
        <f t="shared" si="1"/>
        <v>0</v>
      </c>
      <c r="S10" s="34">
        <f t="shared" si="2"/>
        <v>1</v>
      </c>
      <c r="T10" s="34">
        <v>0.02</v>
      </c>
      <c r="U10" s="31">
        <v>1022000</v>
      </c>
      <c r="V10" s="35">
        <v>50618</v>
      </c>
      <c r="W10" s="143">
        <v>50618</v>
      </c>
      <c r="X10" s="35">
        <v>50618</v>
      </c>
      <c r="Y10" s="72"/>
      <c r="Z10" s="57">
        <v>2038</v>
      </c>
      <c r="AA10" s="31">
        <v>789.87</v>
      </c>
      <c r="AB10" s="33">
        <v>500</v>
      </c>
      <c r="AC10" s="54"/>
      <c r="AD10" s="34">
        <v>0</v>
      </c>
      <c r="AE10" s="62">
        <f t="shared" si="4"/>
        <v>0</v>
      </c>
      <c r="AF10" s="34">
        <v>1</v>
      </c>
      <c r="AG10" s="33">
        <f t="shared" si="5"/>
        <v>789.87</v>
      </c>
      <c r="AH10" s="58">
        <v>0</v>
      </c>
      <c r="AI10" s="33">
        <f t="shared" si="6"/>
        <v>0</v>
      </c>
      <c r="AJ10" s="24"/>
      <c r="AK10" s="54">
        <f t="shared" ref="AK10:AK41" si="9">AJ10*AA10</f>
        <v>0</v>
      </c>
      <c r="AL10" s="34">
        <v>0</v>
      </c>
      <c r="AM10" s="59">
        <f t="shared" si="3"/>
        <v>0</v>
      </c>
      <c r="AN10" s="67"/>
      <c r="AO10" s="67"/>
      <c r="AP10" s="67"/>
      <c r="AQ10" s="67"/>
      <c r="AR10" s="67"/>
      <c r="AS10" s="67"/>
      <c r="AT10" s="60"/>
      <c r="AU10" s="60"/>
      <c r="AV10" s="49"/>
      <c r="AW10" s="49"/>
      <c r="AX10" s="49"/>
    </row>
    <row r="11" spans="1:56" ht="15" customHeight="1">
      <c r="A11" s="55" t="s">
        <v>501</v>
      </c>
      <c r="B11" s="22" t="s">
        <v>383</v>
      </c>
      <c r="C11" s="24" t="s">
        <v>476</v>
      </c>
      <c r="D11" s="34" t="s">
        <v>194</v>
      </c>
      <c r="E11" s="178">
        <v>5003607.5999999996</v>
      </c>
      <c r="F11" s="165">
        <v>1300502.7</v>
      </c>
      <c r="G11" s="18"/>
      <c r="H11" s="34" t="s">
        <v>53</v>
      </c>
      <c r="I11" s="20">
        <v>605318</v>
      </c>
      <c r="J11" s="33">
        <v>633276</v>
      </c>
      <c r="K11" s="34">
        <v>1</v>
      </c>
      <c r="L11" s="33">
        <f t="shared" si="7"/>
        <v>605318</v>
      </c>
      <c r="M11" s="34">
        <v>0</v>
      </c>
      <c r="N11" s="33">
        <f t="shared" si="8"/>
        <v>0</v>
      </c>
      <c r="O11" s="34">
        <v>0</v>
      </c>
      <c r="P11" s="33">
        <f t="shared" si="0"/>
        <v>0</v>
      </c>
      <c r="Q11" s="34">
        <v>0</v>
      </c>
      <c r="R11" s="33">
        <f t="shared" si="1"/>
        <v>0</v>
      </c>
      <c r="S11" s="34">
        <f t="shared" si="2"/>
        <v>1</v>
      </c>
      <c r="T11" s="34">
        <v>0.03</v>
      </c>
      <c r="U11" s="33">
        <v>1606000</v>
      </c>
      <c r="V11" s="35">
        <v>54479</v>
      </c>
      <c r="W11" s="143">
        <v>54479</v>
      </c>
      <c r="X11" s="35">
        <v>54479</v>
      </c>
      <c r="Y11" s="72"/>
      <c r="Z11" s="57">
        <v>2049</v>
      </c>
      <c r="AA11" s="33"/>
      <c r="AB11" s="33"/>
      <c r="AC11" s="54"/>
      <c r="AD11" s="34">
        <v>0</v>
      </c>
      <c r="AE11" s="62">
        <f t="shared" si="4"/>
        <v>0</v>
      </c>
      <c r="AF11" s="34">
        <v>0</v>
      </c>
      <c r="AG11" s="33">
        <f t="shared" si="5"/>
        <v>0</v>
      </c>
      <c r="AH11" s="58">
        <v>0</v>
      </c>
      <c r="AI11" s="33">
        <f t="shared" si="6"/>
        <v>0</v>
      </c>
      <c r="AJ11" s="24"/>
      <c r="AK11" s="54">
        <f t="shared" si="9"/>
        <v>0</v>
      </c>
      <c r="AL11" s="34">
        <v>0</v>
      </c>
      <c r="AM11" s="59">
        <f t="shared" si="3"/>
        <v>0</v>
      </c>
      <c r="AN11" s="67"/>
      <c r="AO11" s="67"/>
      <c r="AP11" s="67"/>
      <c r="AQ11" s="67"/>
      <c r="AR11" s="67"/>
      <c r="AS11" s="67"/>
      <c r="AT11" s="60"/>
      <c r="AU11" s="60"/>
      <c r="AV11" s="49"/>
      <c r="AW11" s="49"/>
      <c r="AX11" s="49"/>
    </row>
    <row r="12" spans="1:56" ht="15" customHeight="1">
      <c r="A12" s="55" t="s">
        <v>501</v>
      </c>
      <c r="B12" s="22" t="s">
        <v>383</v>
      </c>
      <c r="C12" s="24" t="s">
        <v>476</v>
      </c>
      <c r="D12" s="34" t="s">
        <v>195</v>
      </c>
      <c r="E12" s="178">
        <v>4999347.9000000004</v>
      </c>
      <c r="F12" s="165">
        <v>1331984</v>
      </c>
      <c r="G12" s="18"/>
      <c r="H12" s="34" t="s">
        <v>53</v>
      </c>
      <c r="I12" s="20">
        <v>92591</v>
      </c>
      <c r="J12" s="33">
        <v>86068</v>
      </c>
      <c r="K12" s="34">
        <v>1</v>
      </c>
      <c r="L12" s="33">
        <f t="shared" si="7"/>
        <v>92591</v>
      </c>
      <c r="M12" s="34">
        <v>0</v>
      </c>
      <c r="N12" s="33">
        <f t="shared" si="8"/>
        <v>0</v>
      </c>
      <c r="O12" s="34">
        <v>0</v>
      </c>
      <c r="P12" s="33">
        <f t="shared" si="0"/>
        <v>0</v>
      </c>
      <c r="Q12" s="34">
        <v>0</v>
      </c>
      <c r="R12" s="33">
        <f t="shared" si="1"/>
        <v>0</v>
      </c>
      <c r="S12" s="34">
        <f t="shared" si="2"/>
        <v>1</v>
      </c>
      <c r="T12" s="34">
        <v>2.5000000000000001E-3</v>
      </c>
      <c r="U12" s="33">
        <v>127750</v>
      </c>
      <c r="V12" s="24"/>
      <c r="W12" s="54"/>
      <c r="X12" s="32">
        <v>43070</v>
      </c>
      <c r="Y12" s="72"/>
      <c r="Z12" s="57">
        <v>2017</v>
      </c>
      <c r="AA12" s="33"/>
      <c r="AB12" s="33"/>
      <c r="AC12" s="54"/>
      <c r="AD12" s="34">
        <v>0</v>
      </c>
      <c r="AE12" s="62">
        <f t="shared" si="4"/>
        <v>0</v>
      </c>
      <c r="AF12" s="34">
        <v>0</v>
      </c>
      <c r="AG12" s="33">
        <f t="shared" si="5"/>
        <v>0</v>
      </c>
      <c r="AH12" s="58">
        <v>0</v>
      </c>
      <c r="AI12" s="33">
        <f t="shared" si="6"/>
        <v>0</v>
      </c>
      <c r="AJ12" s="24"/>
      <c r="AK12" s="54">
        <f t="shared" si="9"/>
        <v>0</v>
      </c>
      <c r="AL12" s="34">
        <v>0</v>
      </c>
      <c r="AM12" s="59">
        <f t="shared" si="3"/>
        <v>0</v>
      </c>
      <c r="AN12" s="67"/>
      <c r="AO12" s="67"/>
      <c r="AP12" s="67"/>
      <c r="AQ12" s="67"/>
      <c r="AR12" s="67"/>
      <c r="AS12" s="67"/>
      <c r="AT12" s="60"/>
      <c r="AU12" s="60"/>
      <c r="AV12" s="49"/>
      <c r="AW12" s="49"/>
      <c r="AX12" s="49"/>
    </row>
    <row r="13" spans="1:56" ht="15" customHeight="1">
      <c r="A13" s="55" t="s">
        <v>501</v>
      </c>
      <c r="B13" s="22" t="s">
        <v>383</v>
      </c>
      <c r="C13" s="24" t="s">
        <v>476</v>
      </c>
      <c r="D13" s="34" t="s">
        <v>196</v>
      </c>
      <c r="E13" s="178">
        <v>4997655.3</v>
      </c>
      <c r="F13" s="165">
        <v>1372417.3</v>
      </c>
      <c r="G13" s="18"/>
      <c r="H13" s="24" t="s">
        <v>37</v>
      </c>
      <c r="I13" s="20">
        <v>126488</v>
      </c>
      <c r="J13" s="33">
        <v>146297</v>
      </c>
      <c r="K13" s="34">
        <v>1</v>
      </c>
      <c r="L13" s="33">
        <f t="shared" si="7"/>
        <v>126488</v>
      </c>
      <c r="M13" s="34">
        <v>0</v>
      </c>
      <c r="N13" s="33">
        <f t="shared" si="8"/>
        <v>0</v>
      </c>
      <c r="O13" s="34">
        <v>0</v>
      </c>
      <c r="P13" s="33">
        <f t="shared" si="0"/>
        <v>0</v>
      </c>
      <c r="Q13" s="34">
        <v>0</v>
      </c>
      <c r="R13" s="33">
        <f t="shared" si="1"/>
        <v>0</v>
      </c>
      <c r="S13" s="34">
        <f t="shared" si="2"/>
        <v>1</v>
      </c>
      <c r="T13" s="34">
        <v>5.0000000000000001E-3</v>
      </c>
      <c r="U13" s="33">
        <v>547500</v>
      </c>
      <c r="V13" s="35">
        <v>53868</v>
      </c>
      <c r="W13" s="143">
        <v>43191</v>
      </c>
      <c r="X13" s="32">
        <v>54879</v>
      </c>
      <c r="Y13" s="72"/>
      <c r="Z13" s="57">
        <v>2050</v>
      </c>
      <c r="AA13" s="31">
        <v>110</v>
      </c>
      <c r="AB13" s="33">
        <v>20</v>
      </c>
      <c r="AC13" s="54"/>
      <c r="AD13" s="34">
        <v>0</v>
      </c>
      <c r="AE13" s="62">
        <f t="shared" si="4"/>
        <v>0</v>
      </c>
      <c r="AF13" s="34">
        <v>1</v>
      </c>
      <c r="AG13" s="33">
        <f t="shared" si="5"/>
        <v>110</v>
      </c>
      <c r="AH13" s="58">
        <v>0</v>
      </c>
      <c r="AI13" s="33">
        <f t="shared" si="6"/>
        <v>0</v>
      </c>
      <c r="AJ13" s="24"/>
      <c r="AK13" s="54">
        <f t="shared" si="9"/>
        <v>0</v>
      </c>
      <c r="AL13" s="34">
        <v>0</v>
      </c>
      <c r="AM13" s="59">
        <f t="shared" si="3"/>
        <v>0</v>
      </c>
      <c r="AN13" s="60"/>
      <c r="AO13" s="60"/>
      <c r="AP13" s="60"/>
      <c r="AQ13" s="67"/>
      <c r="AR13" s="60"/>
      <c r="AS13" s="60"/>
      <c r="AT13" s="60"/>
      <c r="AU13" s="60"/>
      <c r="AV13" s="49"/>
      <c r="AW13" s="49"/>
      <c r="AX13" s="49"/>
    </row>
    <row r="14" spans="1:56" ht="17.25" customHeight="1">
      <c r="A14" s="55" t="s">
        <v>501</v>
      </c>
      <c r="B14" s="22" t="s">
        <v>383</v>
      </c>
      <c r="C14" s="24" t="s">
        <v>476</v>
      </c>
      <c r="D14" s="34" t="s">
        <v>197</v>
      </c>
      <c r="E14" s="178">
        <v>5009006.4000000004</v>
      </c>
      <c r="F14" s="165">
        <v>1375007.7</v>
      </c>
      <c r="G14" s="18"/>
      <c r="H14" s="24" t="s">
        <v>53</v>
      </c>
      <c r="I14" s="20">
        <v>30000</v>
      </c>
      <c r="J14" s="33">
        <v>30000</v>
      </c>
      <c r="K14" s="34">
        <v>0</v>
      </c>
      <c r="L14" s="33">
        <f t="shared" si="7"/>
        <v>0</v>
      </c>
      <c r="M14" s="34">
        <v>1</v>
      </c>
      <c r="N14" s="33">
        <f t="shared" si="8"/>
        <v>30000</v>
      </c>
      <c r="O14" s="34">
        <v>0</v>
      </c>
      <c r="P14" s="33">
        <f t="shared" si="0"/>
        <v>0</v>
      </c>
      <c r="Q14" s="34">
        <v>0</v>
      </c>
      <c r="R14" s="33">
        <f t="shared" si="1"/>
        <v>0</v>
      </c>
      <c r="S14" s="34">
        <f t="shared" si="2"/>
        <v>1</v>
      </c>
      <c r="T14" s="34">
        <v>2.5000000000000001E-3</v>
      </c>
      <c r="U14" s="33">
        <v>73912.5</v>
      </c>
      <c r="V14" s="24"/>
      <c r="W14" s="54"/>
      <c r="X14" s="35">
        <v>55175</v>
      </c>
      <c r="Y14" s="72" t="s">
        <v>396</v>
      </c>
      <c r="Z14" s="57">
        <v>2051</v>
      </c>
      <c r="AA14" s="33"/>
      <c r="AB14" s="33"/>
      <c r="AC14" s="54"/>
      <c r="AD14" s="34">
        <v>0</v>
      </c>
      <c r="AE14" s="62">
        <f t="shared" si="4"/>
        <v>0</v>
      </c>
      <c r="AF14" s="34">
        <v>0</v>
      </c>
      <c r="AG14" s="33">
        <f t="shared" si="5"/>
        <v>0</v>
      </c>
      <c r="AH14" s="58">
        <v>0</v>
      </c>
      <c r="AI14" s="33">
        <f t="shared" si="6"/>
        <v>0</v>
      </c>
      <c r="AJ14" s="24"/>
      <c r="AK14" s="54">
        <f t="shared" si="9"/>
        <v>0</v>
      </c>
      <c r="AL14" s="34">
        <v>0</v>
      </c>
      <c r="AM14" s="59">
        <f t="shared" si="3"/>
        <v>0</v>
      </c>
      <c r="AN14" s="67"/>
      <c r="AO14" s="67"/>
      <c r="AP14" s="67"/>
      <c r="AQ14" s="60"/>
      <c r="AR14" s="60"/>
      <c r="AS14" s="60"/>
      <c r="AT14" s="60"/>
      <c r="AU14" s="60"/>
      <c r="AV14" s="49"/>
      <c r="AW14" s="49"/>
      <c r="AX14" s="49"/>
    </row>
    <row r="15" spans="1:56" ht="16.5" customHeight="1">
      <c r="A15" s="55" t="s">
        <v>501</v>
      </c>
      <c r="B15" s="22" t="s">
        <v>383</v>
      </c>
      <c r="C15" s="24" t="s">
        <v>476</v>
      </c>
      <c r="D15" s="34" t="s">
        <v>198</v>
      </c>
      <c r="E15" s="178">
        <v>4950893.0999999996</v>
      </c>
      <c r="F15" s="165">
        <v>1312557.2</v>
      </c>
      <c r="G15" s="18"/>
      <c r="H15" s="24" t="s">
        <v>53</v>
      </c>
      <c r="I15" s="20">
        <v>47252</v>
      </c>
      <c r="J15" s="33">
        <v>51523</v>
      </c>
      <c r="K15" s="34">
        <v>0</v>
      </c>
      <c r="L15" s="33">
        <f t="shared" si="7"/>
        <v>0</v>
      </c>
      <c r="M15" s="34">
        <v>1</v>
      </c>
      <c r="N15" s="33">
        <f t="shared" si="8"/>
        <v>47252</v>
      </c>
      <c r="O15" s="34">
        <v>0</v>
      </c>
      <c r="P15" s="33">
        <f t="shared" si="0"/>
        <v>0</v>
      </c>
      <c r="Q15" s="34">
        <v>0</v>
      </c>
      <c r="R15" s="33">
        <f t="shared" si="1"/>
        <v>0</v>
      </c>
      <c r="S15" s="34">
        <f t="shared" si="2"/>
        <v>1</v>
      </c>
      <c r="T15" s="34">
        <v>0.01</v>
      </c>
      <c r="U15" s="33">
        <v>171600</v>
      </c>
      <c r="V15" s="24"/>
      <c r="W15" s="54"/>
      <c r="X15" s="35">
        <v>53206</v>
      </c>
      <c r="Y15" s="72"/>
      <c r="Z15" s="57">
        <v>2045</v>
      </c>
      <c r="AA15" s="33">
        <v>0</v>
      </c>
      <c r="AB15" s="33">
        <v>20</v>
      </c>
      <c r="AC15" s="54"/>
      <c r="AD15" s="34">
        <v>0</v>
      </c>
      <c r="AE15" s="62">
        <f t="shared" si="4"/>
        <v>0</v>
      </c>
      <c r="AF15" s="34">
        <v>0</v>
      </c>
      <c r="AG15" s="33">
        <f t="shared" si="5"/>
        <v>0</v>
      </c>
      <c r="AH15" s="58">
        <v>0</v>
      </c>
      <c r="AI15" s="33">
        <f t="shared" si="6"/>
        <v>0</v>
      </c>
      <c r="AJ15" s="24"/>
      <c r="AK15" s="54">
        <f t="shared" si="9"/>
        <v>0</v>
      </c>
      <c r="AL15" s="34">
        <v>0</v>
      </c>
      <c r="AM15" s="59">
        <f t="shared" si="3"/>
        <v>0</v>
      </c>
      <c r="AN15" s="60"/>
      <c r="AO15" s="60"/>
      <c r="AP15" s="60"/>
      <c r="AQ15" s="60"/>
      <c r="AR15" s="60"/>
      <c r="AS15" s="60"/>
      <c r="AT15" s="60"/>
      <c r="AU15" s="60"/>
      <c r="AV15" s="49"/>
      <c r="AW15" s="49"/>
      <c r="AX15" s="49"/>
    </row>
    <row r="16" spans="1:56" ht="15" customHeight="1">
      <c r="A16" s="55" t="s">
        <v>220</v>
      </c>
      <c r="B16" s="22" t="s">
        <v>383</v>
      </c>
      <c r="C16" s="24" t="s">
        <v>476</v>
      </c>
      <c r="D16" s="24" t="s">
        <v>211</v>
      </c>
      <c r="E16" s="177">
        <v>5180283.159</v>
      </c>
      <c r="F16" s="33">
        <v>1575758.7069999999</v>
      </c>
      <c r="G16" s="33"/>
      <c r="H16" s="24" t="s">
        <v>37</v>
      </c>
      <c r="I16" s="21">
        <f>166872*365</f>
        <v>60908280</v>
      </c>
      <c r="J16" s="33">
        <v>65987374</v>
      </c>
      <c r="K16" s="34">
        <v>0</v>
      </c>
      <c r="L16" s="33">
        <f t="shared" si="7"/>
        <v>0</v>
      </c>
      <c r="M16" s="34">
        <v>0</v>
      </c>
      <c r="N16" s="33">
        <f t="shared" si="8"/>
        <v>0</v>
      </c>
      <c r="O16" s="34">
        <v>0</v>
      </c>
      <c r="P16" s="33">
        <f t="shared" si="0"/>
        <v>0</v>
      </c>
      <c r="Q16" s="34">
        <v>1</v>
      </c>
      <c r="R16" s="33">
        <f t="shared" si="1"/>
        <v>60908280</v>
      </c>
      <c r="S16" s="34">
        <f t="shared" si="2"/>
        <v>1</v>
      </c>
      <c r="T16" s="34">
        <v>8.6999999999999994E-2</v>
      </c>
      <c r="U16" s="33">
        <v>90000000</v>
      </c>
      <c r="V16" s="35">
        <v>52732</v>
      </c>
      <c r="W16" s="143">
        <v>47038</v>
      </c>
      <c r="X16" s="35">
        <v>51637</v>
      </c>
      <c r="Y16" s="72"/>
      <c r="Z16" s="57">
        <v>2041</v>
      </c>
      <c r="AA16" s="27">
        <v>3323.406714355468</v>
      </c>
      <c r="AB16" s="33">
        <v>3730</v>
      </c>
      <c r="AC16" s="54"/>
      <c r="AD16" s="34"/>
      <c r="AE16" s="62">
        <f t="shared" si="4"/>
        <v>0</v>
      </c>
      <c r="AF16" s="34">
        <v>0</v>
      </c>
      <c r="AG16" s="33">
        <f t="shared" si="5"/>
        <v>0</v>
      </c>
      <c r="AH16" s="58">
        <v>1</v>
      </c>
      <c r="AI16" s="33">
        <f t="shared" si="6"/>
        <v>3323.406714355468</v>
      </c>
      <c r="AJ16" s="24"/>
      <c r="AK16" s="54">
        <f t="shared" si="9"/>
        <v>0</v>
      </c>
      <c r="AL16" s="34">
        <v>0</v>
      </c>
      <c r="AM16" s="59">
        <f t="shared" si="3"/>
        <v>0</v>
      </c>
      <c r="AN16" s="67"/>
      <c r="AO16" s="67"/>
      <c r="AP16" s="67"/>
      <c r="AQ16" s="67"/>
      <c r="AR16" s="67"/>
      <c r="AS16" s="67"/>
      <c r="AT16" s="60"/>
      <c r="AU16" s="60"/>
      <c r="AV16" s="49"/>
      <c r="AW16" s="49"/>
      <c r="AX16" s="49"/>
    </row>
    <row r="17" spans="1:50" ht="15" customHeight="1">
      <c r="A17" s="55" t="s">
        <v>220</v>
      </c>
      <c r="B17" s="22" t="s">
        <v>383</v>
      </c>
      <c r="C17" s="24" t="s">
        <v>476</v>
      </c>
      <c r="D17" s="34" t="s">
        <v>212</v>
      </c>
      <c r="E17" s="177">
        <v>5171406.7060000002</v>
      </c>
      <c r="F17" s="33">
        <v>1578211.6950000001</v>
      </c>
      <c r="G17" s="33" t="s">
        <v>397</v>
      </c>
      <c r="H17" s="24" t="s">
        <v>37</v>
      </c>
      <c r="I17" s="21">
        <v>278113</v>
      </c>
      <c r="J17" s="33">
        <v>280447</v>
      </c>
      <c r="K17" s="34">
        <v>0</v>
      </c>
      <c r="L17" s="33">
        <f t="shared" si="7"/>
        <v>0</v>
      </c>
      <c r="M17" s="34">
        <v>0</v>
      </c>
      <c r="N17" s="33">
        <f t="shared" si="8"/>
        <v>0</v>
      </c>
      <c r="O17" s="34">
        <v>1</v>
      </c>
      <c r="P17" s="33">
        <f t="shared" si="0"/>
        <v>278113</v>
      </c>
      <c r="Q17" s="34">
        <v>0</v>
      </c>
      <c r="R17" s="33">
        <f t="shared" si="1"/>
        <v>0</v>
      </c>
      <c r="S17" s="34">
        <f t="shared" si="2"/>
        <v>1</v>
      </c>
      <c r="T17" s="34">
        <v>8.6999999999999994E-2</v>
      </c>
      <c r="U17" s="33">
        <v>290000</v>
      </c>
      <c r="V17" s="24">
        <v>2029</v>
      </c>
      <c r="W17" s="54">
        <v>2029</v>
      </c>
      <c r="X17" s="24">
        <v>2029</v>
      </c>
      <c r="Y17" s="22"/>
      <c r="Z17" s="57">
        <v>2029</v>
      </c>
      <c r="AA17" s="33"/>
      <c r="AB17" s="33"/>
      <c r="AC17" s="54" t="s">
        <v>219</v>
      </c>
      <c r="AD17" s="34"/>
      <c r="AE17" s="62">
        <f t="shared" si="4"/>
        <v>0</v>
      </c>
      <c r="AF17" s="34"/>
      <c r="AG17" s="33">
        <f t="shared" si="5"/>
        <v>0</v>
      </c>
      <c r="AH17" s="58"/>
      <c r="AI17" s="33">
        <f t="shared" si="6"/>
        <v>0</v>
      </c>
      <c r="AJ17" s="24"/>
      <c r="AK17" s="54">
        <f t="shared" si="9"/>
        <v>0</v>
      </c>
      <c r="AL17" s="34">
        <v>0</v>
      </c>
      <c r="AM17" s="59">
        <f t="shared" si="3"/>
        <v>0</v>
      </c>
      <c r="AN17" s="68" t="s">
        <v>484</v>
      </c>
      <c r="AO17" s="68"/>
      <c r="AP17" s="68"/>
      <c r="AQ17" s="68"/>
      <c r="AR17" s="68"/>
      <c r="AS17" s="68"/>
      <c r="AT17" s="68"/>
      <c r="AU17" s="68"/>
      <c r="AV17" s="12"/>
      <c r="AW17" s="12"/>
      <c r="AX17" s="12"/>
    </row>
    <row r="18" spans="1:50" ht="15" customHeight="1">
      <c r="A18" s="55" t="s">
        <v>220</v>
      </c>
      <c r="B18" s="22" t="s">
        <v>383</v>
      </c>
      <c r="C18" s="24" t="s">
        <v>476</v>
      </c>
      <c r="D18" s="34" t="s">
        <v>213</v>
      </c>
      <c r="E18" s="177">
        <v>5170293.4309999999</v>
      </c>
      <c r="F18" s="33">
        <v>1577408.4650000001</v>
      </c>
      <c r="G18" s="33" t="s">
        <v>397</v>
      </c>
      <c r="H18" s="24" t="s">
        <v>37</v>
      </c>
      <c r="I18" s="21">
        <v>153769</v>
      </c>
      <c r="J18" s="33">
        <v>114959</v>
      </c>
      <c r="K18" s="34">
        <v>0</v>
      </c>
      <c r="L18" s="33">
        <f t="shared" si="7"/>
        <v>0</v>
      </c>
      <c r="M18" s="34">
        <v>0</v>
      </c>
      <c r="N18" s="33">
        <f t="shared" si="8"/>
        <v>0</v>
      </c>
      <c r="O18" s="34">
        <v>1</v>
      </c>
      <c r="P18" s="33">
        <f t="shared" si="0"/>
        <v>153769</v>
      </c>
      <c r="Q18" s="34">
        <v>0</v>
      </c>
      <c r="R18" s="33">
        <f t="shared" si="1"/>
        <v>0</v>
      </c>
      <c r="S18" s="34">
        <f t="shared" si="2"/>
        <v>1</v>
      </c>
      <c r="T18" s="34">
        <v>8.6999999999999994E-2</v>
      </c>
      <c r="U18" s="33">
        <v>110000</v>
      </c>
      <c r="V18" s="24">
        <v>2021</v>
      </c>
      <c r="W18" s="54">
        <v>2021</v>
      </c>
      <c r="X18" s="24">
        <v>2021</v>
      </c>
      <c r="Y18" s="22"/>
      <c r="Z18" s="57">
        <v>2021</v>
      </c>
      <c r="AA18" s="33"/>
      <c r="AB18" s="33"/>
      <c r="AC18" s="54" t="s">
        <v>219</v>
      </c>
      <c r="AD18" s="34"/>
      <c r="AE18" s="62">
        <f t="shared" si="4"/>
        <v>0</v>
      </c>
      <c r="AF18" s="34"/>
      <c r="AG18" s="33">
        <f t="shared" si="5"/>
        <v>0</v>
      </c>
      <c r="AH18" s="58"/>
      <c r="AI18" s="33">
        <f t="shared" si="6"/>
        <v>0</v>
      </c>
      <c r="AJ18" s="24"/>
      <c r="AK18" s="54">
        <f t="shared" si="9"/>
        <v>0</v>
      </c>
      <c r="AL18" s="34">
        <v>0</v>
      </c>
      <c r="AM18" s="59">
        <f t="shared" si="3"/>
        <v>0</v>
      </c>
      <c r="AN18" s="68" t="s">
        <v>484</v>
      </c>
      <c r="AO18" s="67"/>
      <c r="AP18" s="67"/>
      <c r="AQ18" s="67"/>
      <c r="AR18" s="67"/>
      <c r="AS18" s="67"/>
      <c r="AT18" s="60"/>
      <c r="AU18" s="60"/>
      <c r="AV18" s="49"/>
      <c r="AW18" s="49"/>
      <c r="AX18" s="49"/>
    </row>
    <row r="19" spans="1:50" ht="15" customHeight="1">
      <c r="A19" s="55" t="s">
        <v>220</v>
      </c>
      <c r="B19" s="22" t="s">
        <v>383</v>
      </c>
      <c r="C19" s="24" t="s">
        <v>476</v>
      </c>
      <c r="D19" s="34" t="s">
        <v>214</v>
      </c>
      <c r="E19" s="177">
        <v>5169917</v>
      </c>
      <c r="F19" s="33">
        <v>1571880</v>
      </c>
      <c r="G19" s="33"/>
      <c r="H19" s="24" t="s">
        <v>37</v>
      </c>
      <c r="I19" s="21">
        <v>58464</v>
      </c>
      <c r="J19" s="33">
        <v>58173</v>
      </c>
      <c r="K19" s="34">
        <v>0</v>
      </c>
      <c r="L19" s="33">
        <f t="shared" si="7"/>
        <v>0</v>
      </c>
      <c r="M19" s="34">
        <v>0</v>
      </c>
      <c r="N19" s="33">
        <f t="shared" si="8"/>
        <v>0</v>
      </c>
      <c r="O19" s="34">
        <v>1</v>
      </c>
      <c r="P19" s="33">
        <f t="shared" si="0"/>
        <v>58464</v>
      </c>
      <c r="Q19" s="34">
        <v>0</v>
      </c>
      <c r="R19" s="33">
        <f t="shared" si="1"/>
        <v>0</v>
      </c>
      <c r="S19" s="34">
        <f t="shared" si="2"/>
        <v>1</v>
      </c>
      <c r="T19" s="34">
        <v>8.6999999999999994E-2</v>
      </c>
      <c r="U19" s="33">
        <v>58000</v>
      </c>
      <c r="V19" s="24">
        <v>2018</v>
      </c>
      <c r="W19" s="54">
        <v>2018</v>
      </c>
      <c r="X19" s="24">
        <v>2018</v>
      </c>
      <c r="Y19" s="22"/>
      <c r="Z19" s="57">
        <v>2018</v>
      </c>
      <c r="AA19" s="33"/>
      <c r="AB19" s="33"/>
      <c r="AC19" s="54" t="s">
        <v>219</v>
      </c>
      <c r="AD19" s="34"/>
      <c r="AE19" s="62">
        <f t="shared" si="4"/>
        <v>0</v>
      </c>
      <c r="AF19" s="34"/>
      <c r="AG19" s="33">
        <f t="shared" si="5"/>
        <v>0</v>
      </c>
      <c r="AH19" s="58"/>
      <c r="AI19" s="33">
        <f t="shared" si="6"/>
        <v>0</v>
      </c>
      <c r="AJ19" s="24"/>
      <c r="AK19" s="54">
        <f t="shared" si="9"/>
        <v>0</v>
      </c>
      <c r="AL19" s="34">
        <v>0</v>
      </c>
      <c r="AM19" s="59">
        <f t="shared" si="3"/>
        <v>0</v>
      </c>
      <c r="AN19" s="68" t="s">
        <v>484</v>
      </c>
      <c r="AO19" s="60"/>
      <c r="AP19" s="60"/>
      <c r="AQ19" s="60"/>
      <c r="AR19" s="60"/>
      <c r="AS19" s="60"/>
      <c r="AT19" s="60"/>
      <c r="AU19" s="60"/>
      <c r="AV19" s="49"/>
      <c r="AW19" s="49"/>
      <c r="AX19" s="49"/>
    </row>
    <row r="20" spans="1:50" ht="15" customHeight="1">
      <c r="A20" s="55" t="s">
        <v>220</v>
      </c>
      <c r="B20" s="22" t="s">
        <v>383</v>
      </c>
      <c r="C20" s="24" t="s">
        <v>476</v>
      </c>
      <c r="D20" s="34" t="s">
        <v>215</v>
      </c>
      <c r="E20" s="177">
        <v>5148117.8320000004</v>
      </c>
      <c r="F20" s="33">
        <v>1595979.1950000001</v>
      </c>
      <c r="G20" s="33" t="s">
        <v>397</v>
      </c>
      <c r="H20" s="24" t="s">
        <v>37</v>
      </c>
      <c r="I20" s="21">
        <v>75297</v>
      </c>
      <c r="J20" s="33">
        <v>79046</v>
      </c>
      <c r="K20" s="34">
        <v>0</v>
      </c>
      <c r="L20" s="33">
        <f t="shared" si="7"/>
        <v>0</v>
      </c>
      <c r="M20" s="34">
        <v>0</v>
      </c>
      <c r="N20" s="33">
        <f t="shared" si="8"/>
        <v>0</v>
      </c>
      <c r="O20" s="34">
        <v>1</v>
      </c>
      <c r="P20" s="33">
        <f t="shared" si="0"/>
        <v>75297</v>
      </c>
      <c r="Q20" s="34">
        <v>0</v>
      </c>
      <c r="R20" s="33">
        <f t="shared" si="1"/>
        <v>0</v>
      </c>
      <c r="S20" s="34">
        <f t="shared" si="2"/>
        <v>1</v>
      </c>
      <c r="T20" s="34">
        <v>8.6999999999999994E-2</v>
      </c>
      <c r="U20" s="33">
        <v>105000</v>
      </c>
      <c r="V20" s="24">
        <v>2020</v>
      </c>
      <c r="W20" s="54">
        <v>2020</v>
      </c>
      <c r="X20" s="24">
        <v>2020</v>
      </c>
      <c r="Y20" s="22"/>
      <c r="Z20" s="57">
        <v>2020</v>
      </c>
      <c r="AA20" s="33"/>
      <c r="AB20" s="33"/>
      <c r="AC20" s="54" t="s">
        <v>219</v>
      </c>
      <c r="AD20" s="34"/>
      <c r="AE20" s="62">
        <f t="shared" si="4"/>
        <v>0</v>
      </c>
      <c r="AF20" s="34"/>
      <c r="AG20" s="33">
        <f t="shared" si="5"/>
        <v>0</v>
      </c>
      <c r="AH20" s="58"/>
      <c r="AI20" s="33">
        <f t="shared" si="6"/>
        <v>0</v>
      </c>
      <c r="AJ20" s="24"/>
      <c r="AK20" s="54">
        <f t="shared" si="9"/>
        <v>0</v>
      </c>
      <c r="AL20" s="34">
        <v>0</v>
      </c>
      <c r="AM20" s="59">
        <f t="shared" si="3"/>
        <v>0</v>
      </c>
      <c r="AN20" s="68" t="s">
        <v>484</v>
      </c>
      <c r="AO20" s="67"/>
      <c r="AP20" s="67"/>
      <c r="AQ20" s="67"/>
      <c r="AR20" s="67"/>
      <c r="AS20" s="67"/>
      <c r="AT20" s="67"/>
      <c r="AU20" s="67"/>
      <c r="AV20" s="15"/>
      <c r="AW20" s="15"/>
      <c r="AX20" s="15"/>
    </row>
    <row r="21" spans="1:50" ht="15" customHeight="1">
      <c r="A21" s="55" t="s">
        <v>220</v>
      </c>
      <c r="B21" s="22" t="s">
        <v>383</v>
      </c>
      <c r="C21" s="24" t="s">
        <v>476</v>
      </c>
      <c r="D21" s="34" t="s">
        <v>216</v>
      </c>
      <c r="E21" s="177">
        <v>5155891.7489999998</v>
      </c>
      <c r="F21" s="33">
        <v>1595169.4010000001</v>
      </c>
      <c r="G21" s="33" t="s">
        <v>397</v>
      </c>
      <c r="H21" s="24" t="s">
        <v>37</v>
      </c>
      <c r="I21" s="21">
        <v>28761</v>
      </c>
      <c r="J21" s="33">
        <v>32612</v>
      </c>
      <c r="K21" s="34">
        <v>0</v>
      </c>
      <c r="L21" s="33">
        <f t="shared" si="7"/>
        <v>0</v>
      </c>
      <c r="M21" s="34">
        <v>0</v>
      </c>
      <c r="N21" s="33">
        <f t="shared" si="8"/>
        <v>0</v>
      </c>
      <c r="O21" s="34">
        <v>1</v>
      </c>
      <c r="P21" s="33">
        <f t="shared" si="0"/>
        <v>28761</v>
      </c>
      <c r="Q21" s="34">
        <v>0</v>
      </c>
      <c r="R21" s="33">
        <f t="shared" si="1"/>
        <v>0</v>
      </c>
      <c r="S21" s="34">
        <f t="shared" si="2"/>
        <v>1</v>
      </c>
      <c r="T21" s="34">
        <v>8.6999999999999994E-2</v>
      </c>
      <c r="U21" s="33">
        <v>50000</v>
      </c>
      <c r="V21" s="24">
        <v>2023</v>
      </c>
      <c r="W21" s="54">
        <v>2023</v>
      </c>
      <c r="X21" s="24">
        <v>2023</v>
      </c>
      <c r="Y21" s="22"/>
      <c r="Z21" s="57">
        <v>2023</v>
      </c>
      <c r="AA21" s="33"/>
      <c r="AB21" s="33"/>
      <c r="AC21" s="54" t="s">
        <v>219</v>
      </c>
      <c r="AD21" s="34"/>
      <c r="AE21" s="62">
        <f t="shared" si="4"/>
        <v>0</v>
      </c>
      <c r="AF21" s="34"/>
      <c r="AG21" s="33">
        <f t="shared" si="5"/>
        <v>0</v>
      </c>
      <c r="AH21" s="58"/>
      <c r="AI21" s="33">
        <f t="shared" si="6"/>
        <v>0</v>
      </c>
      <c r="AJ21" s="24"/>
      <c r="AK21" s="54">
        <f t="shared" si="9"/>
        <v>0</v>
      </c>
      <c r="AL21" s="34">
        <v>0</v>
      </c>
      <c r="AM21" s="59">
        <f t="shared" si="3"/>
        <v>0</v>
      </c>
      <c r="AN21" s="68" t="s">
        <v>484</v>
      </c>
      <c r="AO21" s="67"/>
      <c r="AP21" s="67"/>
      <c r="AQ21" s="67"/>
      <c r="AR21" s="67"/>
      <c r="AS21" s="67"/>
      <c r="AT21" s="67"/>
      <c r="AU21" s="67"/>
      <c r="AV21" s="15"/>
      <c r="AW21" s="15"/>
      <c r="AX21" s="15"/>
    </row>
    <row r="22" spans="1:50" ht="15" customHeight="1">
      <c r="A22" s="55" t="s">
        <v>220</v>
      </c>
      <c r="B22" s="22" t="s">
        <v>383</v>
      </c>
      <c r="C22" s="24" t="s">
        <v>476</v>
      </c>
      <c r="D22" s="34" t="s">
        <v>217</v>
      </c>
      <c r="E22" s="177">
        <v>5149225.7529999996</v>
      </c>
      <c r="F22" s="33">
        <v>1592761.3430000001</v>
      </c>
      <c r="G22" s="33"/>
      <c r="H22" s="24" t="s">
        <v>37</v>
      </c>
      <c r="I22" s="21">
        <v>1592</v>
      </c>
      <c r="J22" s="33">
        <v>1772</v>
      </c>
      <c r="K22" s="34">
        <v>0</v>
      </c>
      <c r="L22" s="33">
        <f t="shared" si="7"/>
        <v>0</v>
      </c>
      <c r="M22" s="34">
        <v>1</v>
      </c>
      <c r="N22" s="33">
        <f t="shared" si="8"/>
        <v>1592</v>
      </c>
      <c r="O22" s="34">
        <v>0</v>
      </c>
      <c r="P22" s="33">
        <f t="shared" si="0"/>
        <v>0</v>
      </c>
      <c r="Q22" s="34">
        <v>0</v>
      </c>
      <c r="R22" s="33">
        <f t="shared" si="1"/>
        <v>0</v>
      </c>
      <c r="S22" s="34">
        <f t="shared" si="2"/>
        <v>1</v>
      </c>
      <c r="T22" s="34">
        <v>8.6999999999999994E-2</v>
      </c>
      <c r="U22" s="33">
        <v>10000</v>
      </c>
      <c r="V22" s="24">
        <v>2048</v>
      </c>
      <c r="W22" s="54">
        <v>2048</v>
      </c>
      <c r="X22" s="24">
        <v>2048</v>
      </c>
      <c r="Y22" s="22"/>
      <c r="Z22" s="57">
        <v>2048</v>
      </c>
      <c r="AA22" s="33"/>
      <c r="AB22" s="33"/>
      <c r="AC22" s="54" t="s">
        <v>219</v>
      </c>
      <c r="AD22" s="34"/>
      <c r="AE22" s="62">
        <f t="shared" si="4"/>
        <v>0</v>
      </c>
      <c r="AF22" s="34"/>
      <c r="AG22" s="33">
        <f t="shared" si="5"/>
        <v>0</v>
      </c>
      <c r="AH22" s="58"/>
      <c r="AI22" s="33">
        <f t="shared" si="6"/>
        <v>0</v>
      </c>
      <c r="AJ22" s="24"/>
      <c r="AK22" s="54">
        <f t="shared" si="9"/>
        <v>0</v>
      </c>
      <c r="AL22" s="34">
        <v>0</v>
      </c>
      <c r="AM22" s="59">
        <f t="shared" si="3"/>
        <v>0</v>
      </c>
      <c r="AN22" s="68" t="s">
        <v>484</v>
      </c>
      <c r="AO22" s="67"/>
      <c r="AP22" s="67"/>
      <c r="AQ22" s="67"/>
      <c r="AR22" s="67"/>
      <c r="AS22" s="67"/>
      <c r="AT22" s="67"/>
      <c r="AU22" s="67"/>
      <c r="AV22" s="15"/>
      <c r="AW22" s="15"/>
      <c r="AX22" s="15"/>
    </row>
    <row r="23" spans="1:50" ht="15" customHeight="1">
      <c r="A23" s="55" t="s">
        <v>220</v>
      </c>
      <c r="B23" s="22" t="s">
        <v>383</v>
      </c>
      <c r="C23" s="24" t="s">
        <v>476</v>
      </c>
      <c r="D23" s="24" t="s">
        <v>218</v>
      </c>
      <c r="E23" s="177">
        <v>5149064</v>
      </c>
      <c r="F23" s="33">
        <v>1592642</v>
      </c>
      <c r="G23" s="33"/>
      <c r="H23" s="24" t="s">
        <v>37</v>
      </c>
      <c r="I23" s="21">
        <v>1886</v>
      </c>
      <c r="J23" s="33">
        <v>1601</v>
      </c>
      <c r="K23" s="34">
        <v>0</v>
      </c>
      <c r="L23" s="33">
        <f t="shared" si="7"/>
        <v>0</v>
      </c>
      <c r="M23" s="34">
        <v>1</v>
      </c>
      <c r="N23" s="33">
        <f t="shared" si="8"/>
        <v>1886</v>
      </c>
      <c r="O23" s="34">
        <v>0</v>
      </c>
      <c r="P23" s="33">
        <f t="shared" si="0"/>
        <v>0</v>
      </c>
      <c r="Q23" s="34">
        <v>0</v>
      </c>
      <c r="R23" s="33">
        <f t="shared" si="1"/>
        <v>0</v>
      </c>
      <c r="S23" s="34">
        <f t="shared" si="2"/>
        <v>1</v>
      </c>
      <c r="T23" s="34">
        <v>8.6999999999999994E-2</v>
      </c>
      <c r="U23" s="33">
        <v>3650</v>
      </c>
      <c r="V23" s="24">
        <v>2035</v>
      </c>
      <c r="W23" s="54">
        <v>2035</v>
      </c>
      <c r="X23" s="24">
        <v>2035</v>
      </c>
      <c r="Y23" s="22"/>
      <c r="Z23" s="57">
        <v>2035</v>
      </c>
      <c r="AA23" s="33"/>
      <c r="AB23" s="33"/>
      <c r="AC23" s="54" t="s">
        <v>219</v>
      </c>
      <c r="AD23" s="34"/>
      <c r="AE23" s="62">
        <f t="shared" si="4"/>
        <v>0</v>
      </c>
      <c r="AF23" s="34"/>
      <c r="AG23" s="33">
        <f t="shared" si="5"/>
        <v>0</v>
      </c>
      <c r="AH23" s="58"/>
      <c r="AI23" s="33">
        <f t="shared" si="6"/>
        <v>0</v>
      </c>
      <c r="AJ23" s="24"/>
      <c r="AK23" s="54">
        <f t="shared" si="9"/>
        <v>0</v>
      </c>
      <c r="AL23" s="34">
        <v>0</v>
      </c>
      <c r="AM23" s="59">
        <f t="shared" si="3"/>
        <v>0</v>
      </c>
      <c r="AN23" s="68" t="s">
        <v>484</v>
      </c>
      <c r="AO23" s="67"/>
      <c r="AP23" s="67"/>
      <c r="AQ23" s="67"/>
      <c r="AR23" s="67"/>
      <c r="AS23" s="67"/>
      <c r="AT23" s="67"/>
      <c r="AU23" s="67"/>
      <c r="AV23" s="15"/>
      <c r="AW23" s="15"/>
      <c r="AX23" s="15"/>
    </row>
    <row r="24" spans="1:50" ht="15" customHeight="1">
      <c r="A24" s="55" t="s">
        <v>210</v>
      </c>
      <c r="B24" s="22" t="s">
        <v>383</v>
      </c>
      <c r="C24" s="24" t="s">
        <v>474</v>
      </c>
      <c r="D24" s="34" t="s">
        <v>199</v>
      </c>
      <c r="E24" s="177">
        <v>4871781</v>
      </c>
      <c r="F24" s="33">
        <v>1348499</v>
      </c>
      <c r="G24" s="33"/>
      <c r="H24" s="34" t="s">
        <v>53</v>
      </c>
      <c r="I24" s="24"/>
      <c r="J24" s="33">
        <v>808358</v>
      </c>
      <c r="K24" s="34">
        <v>1</v>
      </c>
      <c r="L24" s="33">
        <f t="shared" ref="L24:L34" si="10">J24*K24</f>
        <v>808358</v>
      </c>
      <c r="M24" s="34"/>
      <c r="N24" s="33">
        <f t="shared" ref="N24:N34" si="11">J24*M24</f>
        <v>0</v>
      </c>
      <c r="O24" s="34"/>
      <c r="P24" s="33">
        <f t="shared" si="0"/>
        <v>0</v>
      </c>
      <c r="Q24" s="34"/>
      <c r="R24" s="33">
        <f t="shared" si="1"/>
        <v>0</v>
      </c>
      <c r="S24" s="34">
        <f t="shared" si="2"/>
        <v>1</v>
      </c>
      <c r="T24" s="34">
        <v>0</v>
      </c>
      <c r="U24" s="33">
        <v>912500</v>
      </c>
      <c r="V24" s="34"/>
      <c r="W24" s="78"/>
      <c r="X24" s="35">
        <v>43221</v>
      </c>
      <c r="Y24" s="72"/>
      <c r="Z24" s="57">
        <v>2018</v>
      </c>
      <c r="AA24" s="33"/>
      <c r="AB24" s="33"/>
      <c r="AC24" s="54"/>
      <c r="AD24" s="34">
        <v>0</v>
      </c>
      <c r="AE24" s="62">
        <f t="shared" si="4"/>
        <v>0</v>
      </c>
      <c r="AF24" s="34">
        <v>0</v>
      </c>
      <c r="AG24" s="33">
        <f t="shared" si="5"/>
        <v>0</v>
      </c>
      <c r="AH24" s="58">
        <v>0</v>
      </c>
      <c r="AI24" s="33">
        <f t="shared" si="6"/>
        <v>0</v>
      </c>
      <c r="AJ24" s="24"/>
      <c r="AK24" s="54">
        <f t="shared" si="9"/>
        <v>0</v>
      </c>
      <c r="AL24" s="34">
        <v>0</v>
      </c>
      <c r="AM24" s="59">
        <f t="shared" si="3"/>
        <v>0</v>
      </c>
      <c r="AN24" s="67"/>
      <c r="AO24" s="67"/>
      <c r="AP24" s="67"/>
      <c r="AQ24" s="67"/>
      <c r="AR24" s="67"/>
      <c r="AS24" s="67"/>
      <c r="AT24" s="60"/>
      <c r="AU24" s="60"/>
      <c r="AV24" s="49"/>
      <c r="AW24" s="49"/>
      <c r="AX24" s="49"/>
    </row>
    <row r="25" spans="1:50" ht="15" customHeight="1">
      <c r="A25" s="55" t="s">
        <v>210</v>
      </c>
      <c r="B25" s="22" t="s">
        <v>383</v>
      </c>
      <c r="C25" s="24" t="s">
        <v>474</v>
      </c>
      <c r="D25" s="34" t="s">
        <v>200</v>
      </c>
      <c r="E25" s="177">
        <v>4876880</v>
      </c>
      <c r="F25" s="33">
        <v>1321451</v>
      </c>
      <c r="G25" s="33"/>
      <c r="H25" s="34" t="s">
        <v>53</v>
      </c>
      <c r="I25" s="24"/>
      <c r="J25" s="33">
        <v>73000</v>
      </c>
      <c r="K25" s="34">
        <v>1</v>
      </c>
      <c r="L25" s="33">
        <f t="shared" si="10"/>
        <v>73000</v>
      </c>
      <c r="M25" s="34"/>
      <c r="N25" s="33">
        <f t="shared" si="11"/>
        <v>0</v>
      </c>
      <c r="O25" s="34"/>
      <c r="P25" s="33">
        <f t="shared" si="0"/>
        <v>0</v>
      </c>
      <c r="Q25" s="34"/>
      <c r="R25" s="33">
        <f t="shared" si="1"/>
        <v>0</v>
      </c>
      <c r="S25" s="34">
        <f t="shared" si="2"/>
        <v>1</v>
      </c>
      <c r="T25" s="34">
        <v>0</v>
      </c>
      <c r="U25" s="33">
        <v>146000</v>
      </c>
      <c r="V25" s="34"/>
      <c r="W25" s="78"/>
      <c r="X25" s="35">
        <v>43009</v>
      </c>
      <c r="Y25" s="72"/>
      <c r="Z25" s="57">
        <v>2017</v>
      </c>
      <c r="AA25" s="33"/>
      <c r="AB25" s="33"/>
      <c r="AC25" s="54"/>
      <c r="AD25" s="34">
        <v>0</v>
      </c>
      <c r="AE25" s="62">
        <f t="shared" si="4"/>
        <v>0</v>
      </c>
      <c r="AF25" s="34">
        <v>0</v>
      </c>
      <c r="AG25" s="33">
        <f t="shared" si="5"/>
        <v>0</v>
      </c>
      <c r="AH25" s="58">
        <v>0</v>
      </c>
      <c r="AI25" s="33">
        <f t="shared" si="6"/>
        <v>0</v>
      </c>
      <c r="AJ25" s="24"/>
      <c r="AK25" s="54">
        <f t="shared" si="9"/>
        <v>0</v>
      </c>
      <c r="AL25" s="34">
        <v>0</v>
      </c>
      <c r="AM25" s="59">
        <f t="shared" si="3"/>
        <v>0</v>
      </c>
      <c r="AN25" s="67"/>
      <c r="AO25" s="67"/>
      <c r="AP25" s="67"/>
      <c r="AQ25" s="67"/>
      <c r="AR25" s="67"/>
      <c r="AS25" s="67"/>
      <c r="AT25" s="60"/>
      <c r="AU25" s="60"/>
      <c r="AV25" s="49"/>
      <c r="AW25" s="49"/>
      <c r="AX25" s="49"/>
    </row>
    <row r="26" spans="1:50" ht="15" customHeight="1">
      <c r="A26" s="55" t="s">
        <v>210</v>
      </c>
      <c r="B26" s="22" t="s">
        <v>383</v>
      </c>
      <c r="C26" s="24" t="s">
        <v>474</v>
      </c>
      <c r="D26" s="34" t="s">
        <v>201</v>
      </c>
      <c r="E26" s="177">
        <v>4915443</v>
      </c>
      <c r="F26" s="33">
        <v>1309328</v>
      </c>
      <c r="G26" s="33"/>
      <c r="H26" s="34" t="s">
        <v>53</v>
      </c>
      <c r="I26" s="24"/>
      <c r="J26" s="33">
        <v>21013</v>
      </c>
      <c r="K26" s="34">
        <v>1</v>
      </c>
      <c r="L26" s="33">
        <f t="shared" si="10"/>
        <v>21013</v>
      </c>
      <c r="M26" s="34"/>
      <c r="N26" s="33">
        <f t="shared" si="11"/>
        <v>0</v>
      </c>
      <c r="O26" s="34"/>
      <c r="P26" s="33">
        <f t="shared" si="0"/>
        <v>0</v>
      </c>
      <c r="Q26" s="34"/>
      <c r="R26" s="33">
        <f t="shared" si="1"/>
        <v>0</v>
      </c>
      <c r="S26" s="34">
        <f t="shared" si="2"/>
        <v>1</v>
      </c>
      <c r="T26" s="34">
        <v>0</v>
      </c>
      <c r="U26" s="33">
        <v>38325</v>
      </c>
      <c r="V26" s="34"/>
      <c r="W26" s="78"/>
      <c r="X26" s="35">
        <v>41791</v>
      </c>
      <c r="Y26" s="72"/>
      <c r="Z26" s="57">
        <v>2014</v>
      </c>
      <c r="AA26" s="33"/>
      <c r="AB26" s="33"/>
      <c r="AC26" s="54"/>
      <c r="AD26" s="34">
        <v>0</v>
      </c>
      <c r="AE26" s="62">
        <f t="shared" si="4"/>
        <v>0</v>
      </c>
      <c r="AF26" s="34">
        <v>0</v>
      </c>
      <c r="AG26" s="33">
        <f t="shared" si="5"/>
        <v>0</v>
      </c>
      <c r="AH26" s="58">
        <v>0</v>
      </c>
      <c r="AI26" s="33">
        <f t="shared" si="6"/>
        <v>0</v>
      </c>
      <c r="AJ26" s="24"/>
      <c r="AK26" s="54">
        <f t="shared" si="9"/>
        <v>0</v>
      </c>
      <c r="AL26" s="34">
        <v>0</v>
      </c>
      <c r="AM26" s="59">
        <f t="shared" si="3"/>
        <v>0</v>
      </c>
      <c r="AN26" s="67"/>
      <c r="AO26" s="67"/>
      <c r="AP26" s="67"/>
      <c r="AQ26" s="67"/>
      <c r="AR26" s="67"/>
      <c r="AS26" s="67"/>
      <c r="AT26" s="60"/>
      <c r="AU26" s="60"/>
      <c r="AV26" s="49"/>
      <c r="AW26" s="49"/>
      <c r="AX26" s="49"/>
    </row>
    <row r="27" spans="1:50" ht="15" customHeight="1">
      <c r="A27" s="55" t="s">
        <v>210</v>
      </c>
      <c r="B27" s="22" t="s">
        <v>383</v>
      </c>
      <c r="C27" s="24" t="s">
        <v>474</v>
      </c>
      <c r="D27" s="34" t="s">
        <v>202</v>
      </c>
      <c r="E27" s="177">
        <v>4868225</v>
      </c>
      <c r="F27" s="33">
        <v>1356596</v>
      </c>
      <c r="G27" s="33"/>
      <c r="H27" s="34" t="s">
        <v>53</v>
      </c>
      <c r="I27" s="24"/>
      <c r="J27" s="33">
        <v>162562</v>
      </c>
      <c r="K27" s="34">
        <v>1</v>
      </c>
      <c r="L27" s="33">
        <f t="shared" si="10"/>
        <v>162562</v>
      </c>
      <c r="M27" s="34"/>
      <c r="N27" s="33">
        <f t="shared" si="11"/>
        <v>0</v>
      </c>
      <c r="O27" s="34"/>
      <c r="P27" s="33">
        <f t="shared" si="0"/>
        <v>0</v>
      </c>
      <c r="Q27" s="34"/>
      <c r="R27" s="33">
        <f t="shared" si="1"/>
        <v>0</v>
      </c>
      <c r="S27" s="34">
        <f t="shared" si="2"/>
        <v>1</v>
      </c>
      <c r="T27" s="34">
        <v>0</v>
      </c>
      <c r="U27" s="33">
        <v>43800</v>
      </c>
      <c r="V27" s="34"/>
      <c r="W27" s="78"/>
      <c r="X27" s="35">
        <v>53353</v>
      </c>
      <c r="Y27" s="72"/>
      <c r="Z27" s="57">
        <v>2046</v>
      </c>
      <c r="AA27" s="33"/>
      <c r="AB27" s="33"/>
      <c r="AC27" s="54"/>
      <c r="AD27" s="34">
        <v>0</v>
      </c>
      <c r="AE27" s="62">
        <f t="shared" si="4"/>
        <v>0</v>
      </c>
      <c r="AF27" s="34">
        <v>0</v>
      </c>
      <c r="AG27" s="33">
        <f t="shared" si="5"/>
        <v>0</v>
      </c>
      <c r="AH27" s="58">
        <v>0</v>
      </c>
      <c r="AI27" s="33">
        <f t="shared" si="6"/>
        <v>0</v>
      </c>
      <c r="AJ27" s="24"/>
      <c r="AK27" s="54">
        <f t="shared" si="9"/>
        <v>0</v>
      </c>
      <c r="AL27" s="34">
        <v>0</v>
      </c>
      <c r="AM27" s="59">
        <f t="shared" si="3"/>
        <v>0</v>
      </c>
      <c r="AN27" s="67"/>
      <c r="AO27" s="67"/>
      <c r="AP27" s="67"/>
      <c r="AQ27" s="67"/>
      <c r="AR27" s="67"/>
      <c r="AS27" s="67"/>
      <c r="AT27" s="60"/>
      <c r="AU27" s="60"/>
      <c r="AV27" s="49"/>
      <c r="AW27" s="49"/>
      <c r="AX27" s="49"/>
    </row>
    <row r="28" spans="1:50" s="49" customFormat="1" ht="15" customHeight="1">
      <c r="A28" s="55" t="s">
        <v>210</v>
      </c>
      <c r="B28" s="22" t="s">
        <v>383</v>
      </c>
      <c r="C28" s="24" t="s">
        <v>474</v>
      </c>
      <c r="D28" s="34" t="s">
        <v>203</v>
      </c>
      <c r="E28" s="177">
        <v>4858671</v>
      </c>
      <c r="F28" s="33">
        <v>1352186</v>
      </c>
      <c r="G28" s="33"/>
      <c r="H28" s="34" t="s">
        <v>54</v>
      </c>
      <c r="I28" s="24"/>
      <c r="J28" s="33">
        <v>26400</v>
      </c>
      <c r="K28" s="34"/>
      <c r="L28" s="33">
        <f t="shared" si="10"/>
        <v>0</v>
      </c>
      <c r="M28" s="34"/>
      <c r="N28" s="33">
        <f t="shared" si="11"/>
        <v>0</v>
      </c>
      <c r="O28" s="34"/>
      <c r="P28" s="33">
        <f t="shared" si="0"/>
        <v>0</v>
      </c>
      <c r="Q28" s="34">
        <v>1</v>
      </c>
      <c r="R28" s="33">
        <f t="shared" si="1"/>
        <v>0</v>
      </c>
      <c r="S28" s="34">
        <f t="shared" si="2"/>
        <v>1</v>
      </c>
      <c r="T28" s="34">
        <v>0</v>
      </c>
      <c r="U28" s="33">
        <v>127750</v>
      </c>
      <c r="V28" s="34"/>
      <c r="W28" s="78"/>
      <c r="X28" s="35">
        <v>41791</v>
      </c>
      <c r="Y28" s="72"/>
      <c r="Z28" s="57">
        <v>2014</v>
      </c>
      <c r="AA28" s="33"/>
      <c r="AB28" s="33"/>
      <c r="AC28" s="54"/>
      <c r="AD28" s="34">
        <v>0</v>
      </c>
      <c r="AE28" s="62">
        <f t="shared" si="4"/>
        <v>0</v>
      </c>
      <c r="AF28" s="34">
        <v>0</v>
      </c>
      <c r="AG28" s="33">
        <f t="shared" si="5"/>
        <v>0</v>
      </c>
      <c r="AH28" s="58">
        <v>0</v>
      </c>
      <c r="AI28" s="33">
        <f t="shared" si="6"/>
        <v>0</v>
      </c>
      <c r="AJ28" s="24"/>
      <c r="AK28" s="54">
        <f t="shared" si="9"/>
        <v>0</v>
      </c>
      <c r="AL28" s="34">
        <v>0</v>
      </c>
      <c r="AM28" s="59">
        <f t="shared" si="3"/>
        <v>0</v>
      </c>
      <c r="AN28" s="68"/>
      <c r="AO28" s="68"/>
      <c r="AP28" s="68"/>
      <c r="AQ28" s="68"/>
      <c r="AR28" s="60"/>
      <c r="AS28" s="60"/>
      <c r="AT28" s="60"/>
      <c r="AU28" s="60"/>
    </row>
    <row r="29" spans="1:50" ht="15" customHeight="1">
      <c r="A29" s="55" t="s">
        <v>210</v>
      </c>
      <c r="B29" s="22" t="s">
        <v>383</v>
      </c>
      <c r="C29" s="24" t="s">
        <v>474</v>
      </c>
      <c r="D29" s="34" t="s">
        <v>204</v>
      </c>
      <c r="E29" s="177">
        <v>4909610</v>
      </c>
      <c r="F29" s="33">
        <v>1342577</v>
      </c>
      <c r="G29" s="33"/>
      <c r="H29" s="34" t="s">
        <v>54</v>
      </c>
      <c r="I29" s="24"/>
      <c r="J29" s="33">
        <v>117542</v>
      </c>
      <c r="K29" s="34">
        <v>1</v>
      </c>
      <c r="L29" s="33">
        <f t="shared" si="10"/>
        <v>117542</v>
      </c>
      <c r="M29" s="34"/>
      <c r="N29" s="33">
        <f t="shared" si="11"/>
        <v>0</v>
      </c>
      <c r="O29" s="34"/>
      <c r="P29" s="33">
        <f t="shared" si="0"/>
        <v>0</v>
      </c>
      <c r="Q29" s="34"/>
      <c r="R29" s="33">
        <f t="shared" si="1"/>
        <v>0</v>
      </c>
      <c r="S29" s="34">
        <f t="shared" si="2"/>
        <v>1</v>
      </c>
      <c r="T29" s="34">
        <v>0</v>
      </c>
      <c r="U29" s="33">
        <v>91250</v>
      </c>
      <c r="V29" s="35">
        <v>53348</v>
      </c>
      <c r="W29" s="78"/>
      <c r="X29" s="35">
        <v>53348</v>
      </c>
      <c r="Y29" s="72"/>
      <c r="Z29" s="57">
        <v>2046</v>
      </c>
      <c r="AA29" s="33"/>
      <c r="AB29" s="33"/>
      <c r="AC29" s="54"/>
      <c r="AD29" s="34">
        <v>0</v>
      </c>
      <c r="AE29" s="62">
        <f t="shared" si="4"/>
        <v>0</v>
      </c>
      <c r="AF29" s="34">
        <v>0</v>
      </c>
      <c r="AG29" s="33">
        <f t="shared" si="5"/>
        <v>0</v>
      </c>
      <c r="AH29" s="58">
        <v>0</v>
      </c>
      <c r="AI29" s="33">
        <f t="shared" si="6"/>
        <v>0</v>
      </c>
      <c r="AJ29" s="24"/>
      <c r="AK29" s="54">
        <f t="shared" si="9"/>
        <v>0</v>
      </c>
      <c r="AL29" s="34">
        <v>0</v>
      </c>
      <c r="AM29" s="59">
        <f t="shared" si="3"/>
        <v>0</v>
      </c>
      <c r="AN29" s="67"/>
      <c r="AO29" s="67"/>
      <c r="AP29" s="67"/>
      <c r="AQ29" s="67"/>
      <c r="AR29" s="60"/>
      <c r="AS29" s="67"/>
      <c r="AT29" s="67"/>
      <c r="AU29" s="67"/>
      <c r="AV29" s="15"/>
      <c r="AW29" s="15"/>
      <c r="AX29" s="15"/>
    </row>
    <row r="30" spans="1:50" ht="15" customHeight="1">
      <c r="A30" s="55" t="s">
        <v>210</v>
      </c>
      <c r="B30" s="22" t="s">
        <v>383</v>
      </c>
      <c r="C30" s="24" t="s">
        <v>474</v>
      </c>
      <c r="D30" s="24" t="s">
        <v>205</v>
      </c>
      <c r="E30" s="177">
        <v>4887123</v>
      </c>
      <c r="F30" s="33">
        <v>1365065</v>
      </c>
      <c r="G30" s="33"/>
      <c r="H30" s="24" t="s">
        <v>54</v>
      </c>
      <c r="I30" s="24"/>
      <c r="J30" s="33">
        <v>468224</v>
      </c>
      <c r="K30" s="34">
        <v>1</v>
      </c>
      <c r="L30" s="33">
        <f t="shared" si="10"/>
        <v>468224</v>
      </c>
      <c r="M30" s="34"/>
      <c r="N30" s="33">
        <f t="shared" si="11"/>
        <v>0</v>
      </c>
      <c r="O30" s="34"/>
      <c r="P30" s="33">
        <f t="shared" si="0"/>
        <v>0</v>
      </c>
      <c r="Q30" s="34"/>
      <c r="R30" s="33">
        <f t="shared" si="1"/>
        <v>0</v>
      </c>
      <c r="S30" s="34">
        <f t="shared" si="2"/>
        <v>1</v>
      </c>
      <c r="T30" s="34">
        <v>0</v>
      </c>
      <c r="U30" s="33">
        <v>593125</v>
      </c>
      <c r="V30" s="24"/>
      <c r="W30" s="54"/>
      <c r="X30" s="35">
        <v>52737</v>
      </c>
      <c r="Y30" s="72"/>
      <c r="Z30" s="57">
        <v>2044</v>
      </c>
      <c r="AA30" s="33"/>
      <c r="AB30" s="33"/>
      <c r="AC30" s="54"/>
      <c r="AD30" s="34">
        <v>0</v>
      </c>
      <c r="AE30" s="62">
        <f t="shared" si="4"/>
        <v>0</v>
      </c>
      <c r="AF30" s="34">
        <v>1</v>
      </c>
      <c r="AG30" s="33">
        <f t="shared" si="5"/>
        <v>0</v>
      </c>
      <c r="AH30" s="58">
        <v>0</v>
      </c>
      <c r="AI30" s="33">
        <f t="shared" si="6"/>
        <v>0</v>
      </c>
      <c r="AJ30" s="24"/>
      <c r="AK30" s="54">
        <f t="shared" si="9"/>
        <v>0</v>
      </c>
      <c r="AL30" s="34">
        <v>0</v>
      </c>
      <c r="AM30" s="59">
        <f t="shared" si="3"/>
        <v>0</v>
      </c>
      <c r="AN30" s="68"/>
      <c r="AO30" s="68"/>
      <c r="AP30" s="60"/>
      <c r="AQ30" s="68"/>
      <c r="AR30" s="60"/>
      <c r="AS30" s="60"/>
      <c r="AT30" s="60"/>
      <c r="AU30" s="60"/>
      <c r="AV30" s="49"/>
      <c r="AW30" s="49"/>
      <c r="AX30" s="49"/>
    </row>
    <row r="31" spans="1:50" ht="15" customHeight="1">
      <c r="A31" s="55" t="s">
        <v>210</v>
      </c>
      <c r="B31" s="22" t="s">
        <v>383</v>
      </c>
      <c r="C31" s="24" t="s">
        <v>474</v>
      </c>
      <c r="D31" s="24" t="s">
        <v>206</v>
      </c>
      <c r="E31" s="177">
        <v>4851196</v>
      </c>
      <c r="F31" s="33">
        <v>1344295</v>
      </c>
      <c r="G31" s="33"/>
      <c r="H31" s="24" t="s">
        <v>54</v>
      </c>
      <c r="I31" s="24"/>
      <c r="J31" s="33">
        <v>83844</v>
      </c>
      <c r="K31" s="34">
        <v>1</v>
      </c>
      <c r="L31" s="33">
        <f t="shared" si="10"/>
        <v>83844</v>
      </c>
      <c r="M31" s="34"/>
      <c r="N31" s="33">
        <f t="shared" si="11"/>
        <v>0</v>
      </c>
      <c r="O31" s="34"/>
      <c r="P31" s="33">
        <f t="shared" si="0"/>
        <v>0</v>
      </c>
      <c r="Q31" s="34"/>
      <c r="R31" s="33">
        <f t="shared" si="1"/>
        <v>0</v>
      </c>
      <c r="S31" s="34">
        <f t="shared" si="2"/>
        <v>1</v>
      </c>
      <c r="T31" s="34">
        <v>0</v>
      </c>
      <c r="U31" s="33">
        <v>131400</v>
      </c>
      <c r="V31" s="24"/>
      <c r="W31" s="54"/>
      <c r="X31" s="35">
        <v>53291</v>
      </c>
      <c r="Y31" s="72"/>
      <c r="Z31" s="57">
        <v>2045</v>
      </c>
      <c r="AA31" s="33"/>
      <c r="AB31" s="33"/>
      <c r="AC31" s="54"/>
      <c r="AD31" s="34">
        <v>0</v>
      </c>
      <c r="AE31" s="62">
        <f t="shared" si="4"/>
        <v>0</v>
      </c>
      <c r="AF31" s="34">
        <v>0</v>
      </c>
      <c r="AG31" s="33">
        <f t="shared" si="5"/>
        <v>0</v>
      </c>
      <c r="AH31" s="58">
        <v>0</v>
      </c>
      <c r="AI31" s="33">
        <f t="shared" si="6"/>
        <v>0</v>
      </c>
      <c r="AJ31" s="24"/>
      <c r="AK31" s="54">
        <f t="shared" si="9"/>
        <v>0</v>
      </c>
      <c r="AL31" s="34">
        <v>0</v>
      </c>
      <c r="AM31" s="59">
        <f t="shared" si="3"/>
        <v>0</v>
      </c>
      <c r="AN31" s="68"/>
      <c r="AO31" s="68"/>
      <c r="AP31" s="68"/>
      <c r="AQ31" s="68"/>
      <c r="AR31" s="67"/>
      <c r="AS31" s="68"/>
      <c r="AT31" s="60"/>
      <c r="AU31" s="60"/>
      <c r="AV31" s="49"/>
      <c r="AW31" s="49"/>
      <c r="AX31" s="49"/>
    </row>
    <row r="32" spans="1:50" ht="15" customHeight="1">
      <c r="A32" s="55" t="s">
        <v>210</v>
      </c>
      <c r="B32" s="22" t="s">
        <v>383</v>
      </c>
      <c r="C32" s="24" t="s">
        <v>474</v>
      </c>
      <c r="D32" s="24" t="s">
        <v>207</v>
      </c>
      <c r="E32" s="177">
        <v>4872402</v>
      </c>
      <c r="F32" s="33">
        <v>1352360</v>
      </c>
      <c r="G32" s="33"/>
      <c r="H32" s="24" t="s">
        <v>54</v>
      </c>
      <c r="I32" s="24"/>
      <c r="J32" s="33">
        <v>29520</v>
      </c>
      <c r="K32" s="34">
        <v>1</v>
      </c>
      <c r="L32" s="33">
        <f t="shared" si="10"/>
        <v>29520</v>
      </c>
      <c r="M32" s="34"/>
      <c r="N32" s="33">
        <f t="shared" si="11"/>
        <v>0</v>
      </c>
      <c r="O32" s="34"/>
      <c r="P32" s="33">
        <f t="shared" si="0"/>
        <v>0</v>
      </c>
      <c r="Q32" s="34"/>
      <c r="R32" s="33">
        <f t="shared" si="1"/>
        <v>0</v>
      </c>
      <c r="S32" s="34">
        <f t="shared" si="2"/>
        <v>1</v>
      </c>
      <c r="T32" s="34">
        <v>0</v>
      </c>
      <c r="U32" s="33">
        <v>51100</v>
      </c>
      <c r="V32" s="24"/>
      <c r="W32" s="54"/>
      <c r="X32" s="35">
        <v>53291</v>
      </c>
      <c r="Y32" s="72"/>
      <c r="Z32" s="57">
        <v>2045</v>
      </c>
      <c r="AA32" s="33"/>
      <c r="AB32" s="33"/>
      <c r="AC32" s="54"/>
      <c r="AD32" s="34">
        <v>0</v>
      </c>
      <c r="AE32" s="62">
        <f t="shared" si="4"/>
        <v>0</v>
      </c>
      <c r="AF32" s="34">
        <v>0</v>
      </c>
      <c r="AG32" s="33">
        <f t="shared" si="5"/>
        <v>0</v>
      </c>
      <c r="AH32" s="58">
        <v>0</v>
      </c>
      <c r="AI32" s="33">
        <f t="shared" si="6"/>
        <v>0</v>
      </c>
      <c r="AJ32" s="24"/>
      <c r="AK32" s="54">
        <f t="shared" si="9"/>
        <v>0</v>
      </c>
      <c r="AL32" s="34">
        <v>0</v>
      </c>
      <c r="AM32" s="59">
        <f t="shared" si="3"/>
        <v>0</v>
      </c>
      <c r="AN32" s="67"/>
      <c r="AO32" s="67"/>
      <c r="AP32" s="67"/>
      <c r="AQ32" s="67"/>
      <c r="AR32" s="67"/>
      <c r="AS32" s="67"/>
      <c r="AT32" s="67"/>
      <c r="AU32" s="67"/>
      <c r="AV32" s="15"/>
      <c r="AW32" s="15"/>
      <c r="AX32" s="15"/>
    </row>
    <row r="33" spans="1:50" ht="15" customHeight="1">
      <c r="A33" s="55" t="s">
        <v>210</v>
      </c>
      <c r="B33" s="22" t="s">
        <v>383</v>
      </c>
      <c r="C33" s="24" t="s">
        <v>474</v>
      </c>
      <c r="D33" s="24" t="s">
        <v>208</v>
      </c>
      <c r="E33" s="177">
        <v>4905792</v>
      </c>
      <c r="F33" s="33">
        <v>1308958</v>
      </c>
      <c r="G33" s="33"/>
      <c r="H33" s="24" t="s">
        <v>54</v>
      </c>
      <c r="I33" s="24"/>
      <c r="J33" s="33">
        <v>88040</v>
      </c>
      <c r="K33" s="34">
        <v>1</v>
      </c>
      <c r="L33" s="33">
        <f t="shared" si="10"/>
        <v>88040</v>
      </c>
      <c r="M33" s="34"/>
      <c r="N33" s="33">
        <f t="shared" si="11"/>
        <v>0</v>
      </c>
      <c r="O33" s="34"/>
      <c r="P33" s="33">
        <f t="shared" si="0"/>
        <v>0</v>
      </c>
      <c r="Q33" s="34"/>
      <c r="R33" s="33">
        <f t="shared" si="1"/>
        <v>0</v>
      </c>
      <c r="S33" s="34">
        <f t="shared" si="2"/>
        <v>1</v>
      </c>
      <c r="T33" s="34">
        <v>0</v>
      </c>
      <c r="U33" s="33">
        <v>169725</v>
      </c>
      <c r="V33" s="24"/>
      <c r="W33" s="54"/>
      <c r="X33" s="35">
        <v>53291</v>
      </c>
      <c r="Y33" s="72"/>
      <c r="Z33" s="57">
        <v>2045</v>
      </c>
      <c r="AA33" s="33"/>
      <c r="AB33" s="33"/>
      <c r="AC33" s="54"/>
      <c r="AD33" s="34">
        <v>0</v>
      </c>
      <c r="AE33" s="62">
        <f t="shared" si="4"/>
        <v>0</v>
      </c>
      <c r="AF33" s="34">
        <v>0</v>
      </c>
      <c r="AG33" s="33">
        <f t="shared" si="5"/>
        <v>0</v>
      </c>
      <c r="AH33" s="58">
        <v>0</v>
      </c>
      <c r="AI33" s="33">
        <f t="shared" si="6"/>
        <v>0</v>
      </c>
      <c r="AJ33" s="24"/>
      <c r="AK33" s="54">
        <f t="shared" si="9"/>
        <v>0</v>
      </c>
      <c r="AL33" s="34">
        <v>0</v>
      </c>
      <c r="AM33" s="59">
        <f t="shared" si="3"/>
        <v>0</v>
      </c>
      <c r="AN33" s="60"/>
      <c r="AO33" s="60"/>
      <c r="AP33" s="60"/>
      <c r="AQ33" s="60"/>
      <c r="AR33" s="60"/>
      <c r="AS33" s="60"/>
      <c r="AT33" s="60"/>
      <c r="AU33" s="60"/>
      <c r="AV33" s="49"/>
      <c r="AW33" s="49"/>
      <c r="AX33" s="49"/>
    </row>
    <row r="34" spans="1:50" ht="15" customHeight="1">
      <c r="A34" s="55" t="s">
        <v>210</v>
      </c>
      <c r="B34" s="22" t="s">
        <v>383</v>
      </c>
      <c r="C34" s="24" t="s">
        <v>474</v>
      </c>
      <c r="D34" s="24" t="s">
        <v>209</v>
      </c>
      <c r="E34" s="177">
        <v>4901059</v>
      </c>
      <c r="F34" s="33">
        <v>1376530</v>
      </c>
      <c r="G34" s="33"/>
      <c r="H34" s="24" t="s">
        <v>53</v>
      </c>
      <c r="I34" s="24"/>
      <c r="J34" s="33">
        <v>36724</v>
      </c>
      <c r="K34" s="34">
        <v>1</v>
      </c>
      <c r="L34" s="33">
        <f t="shared" si="10"/>
        <v>36724</v>
      </c>
      <c r="M34" s="34"/>
      <c r="N34" s="33">
        <f t="shared" si="11"/>
        <v>0</v>
      </c>
      <c r="O34" s="34"/>
      <c r="P34" s="33">
        <f t="shared" si="0"/>
        <v>0</v>
      </c>
      <c r="Q34" s="34"/>
      <c r="R34" s="33">
        <f t="shared" si="1"/>
        <v>0</v>
      </c>
      <c r="S34" s="34">
        <f t="shared" si="2"/>
        <v>1</v>
      </c>
      <c r="T34" s="34">
        <v>0</v>
      </c>
      <c r="U34" s="33">
        <v>248200</v>
      </c>
      <c r="V34" s="24"/>
      <c r="W34" s="54"/>
      <c r="X34" s="35">
        <v>42979</v>
      </c>
      <c r="Y34" s="72"/>
      <c r="Z34" s="57">
        <v>2017</v>
      </c>
      <c r="AA34" s="33"/>
      <c r="AB34" s="33"/>
      <c r="AC34" s="54"/>
      <c r="AD34" s="34">
        <v>0</v>
      </c>
      <c r="AE34" s="62">
        <f t="shared" si="4"/>
        <v>0</v>
      </c>
      <c r="AF34" s="34">
        <v>0</v>
      </c>
      <c r="AG34" s="33">
        <f t="shared" si="5"/>
        <v>0</v>
      </c>
      <c r="AH34" s="58">
        <v>0</v>
      </c>
      <c r="AI34" s="33">
        <f t="shared" si="6"/>
        <v>0</v>
      </c>
      <c r="AJ34" s="24"/>
      <c r="AK34" s="54">
        <f t="shared" si="9"/>
        <v>0</v>
      </c>
      <c r="AL34" s="34">
        <v>0</v>
      </c>
      <c r="AM34" s="59">
        <f t="shared" si="3"/>
        <v>0</v>
      </c>
      <c r="AN34" s="67"/>
      <c r="AO34" s="67"/>
      <c r="AP34" s="67"/>
      <c r="AQ34" s="67"/>
      <c r="AR34" s="67"/>
      <c r="AS34" s="68"/>
      <c r="AT34" s="60"/>
      <c r="AU34" s="60"/>
      <c r="AV34" s="49"/>
      <c r="AW34" s="49"/>
      <c r="AX34" s="49"/>
    </row>
    <row r="35" spans="1:50" ht="15" customHeight="1">
      <c r="A35" s="55" t="s">
        <v>192</v>
      </c>
      <c r="B35" s="22" t="s">
        <v>383</v>
      </c>
      <c r="C35" s="24" t="s">
        <v>476</v>
      </c>
      <c r="D35" s="24" t="s">
        <v>185</v>
      </c>
      <c r="E35" s="176">
        <v>4913495.8210000005</v>
      </c>
      <c r="F35" s="27">
        <v>1408957.463</v>
      </c>
      <c r="G35" s="33"/>
      <c r="H35" s="24" t="s">
        <v>37</v>
      </c>
      <c r="I35" s="21">
        <v>11251548</v>
      </c>
      <c r="J35" s="33">
        <v>12775000</v>
      </c>
      <c r="K35" s="34">
        <v>0</v>
      </c>
      <c r="L35" s="33">
        <f t="shared" ref="L35:L41" si="12">I35*K35</f>
        <v>0</v>
      </c>
      <c r="M35" s="34">
        <v>0</v>
      </c>
      <c r="N35" s="33">
        <f t="shared" ref="N35:N41" si="13">I35*M35</f>
        <v>0</v>
      </c>
      <c r="O35" s="34">
        <v>0</v>
      </c>
      <c r="P35" s="33">
        <f t="shared" si="0"/>
        <v>0</v>
      </c>
      <c r="Q35" s="34">
        <v>1</v>
      </c>
      <c r="R35" s="33">
        <f t="shared" si="1"/>
        <v>11251548</v>
      </c>
      <c r="S35" s="34">
        <f t="shared" si="2"/>
        <v>1</v>
      </c>
      <c r="T35" s="34">
        <v>0.1</v>
      </c>
      <c r="U35" s="33">
        <v>43800000</v>
      </c>
      <c r="V35" s="35">
        <v>54242</v>
      </c>
      <c r="W35" s="54"/>
      <c r="X35" s="35">
        <v>48395</v>
      </c>
      <c r="Y35" s="72"/>
      <c r="Z35" s="57">
        <v>2032</v>
      </c>
      <c r="AA35" s="27">
        <v>5054.9399999999996</v>
      </c>
      <c r="AB35" s="33">
        <v>2738</v>
      </c>
      <c r="AC35" s="54"/>
      <c r="AD35" s="34"/>
      <c r="AE35" s="62">
        <f t="shared" si="4"/>
        <v>0</v>
      </c>
      <c r="AF35" s="34"/>
      <c r="AG35" s="33">
        <f t="shared" si="5"/>
        <v>0</v>
      </c>
      <c r="AH35" s="58">
        <v>0.25</v>
      </c>
      <c r="AI35" s="33">
        <f t="shared" si="6"/>
        <v>1263.7349999999999</v>
      </c>
      <c r="AJ35" s="34">
        <v>0.75</v>
      </c>
      <c r="AK35" s="54">
        <f t="shared" si="9"/>
        <v>3791.2049999999999</v>
      </c>
      <c r="AL35" s="34">
        <v>0.75</v>
      </c>
      <c r="AM35" s="59">
        <f t="shared" si="3"/>
        <v>3791.2049999999999</v>
      </c>
      <c r="AN35" s="69"/>
      <c r="AO35" s="69"/>
      <c r="AP35" s="60"/>
      <c r="AQ35" s="60"/>
      <c r="AR35" s="60"/>
      <c r="AS35" s="60"/>
      <c r="AT35" s="60"/>
      <c r="AU35" s="60"/>
      <c r="AV35" s="49"/>
      <c r="AW35" s="49"/>
      <c r="AX35" s="49"/>
    </row>
    <row r="36" spans="1:50" ht="15" customHeight="1">
      <c r="A36" s="55" t="s">
        <v>192</v>
      </c>
      <c r="B36" s="22" t="s">
        <v>383</v>
      </c>
      <c r="C36" s="24" t="s">
        <v>476</v>
      </c>
      <c r="D36" s="24" t="s">
        <v>186</v>
      </c>
      <c r="E36" s="176">
        <v>4912281.8099999996</v>
      </c>
      <c r="F36" s="27">
        <v>1398925.1029999999</v>
      </c>
      <c r="G36" s="33"/>
      <c r="H36" s="24" t="s">
        <v>37</v>
      </c>
      <c r="I36" s="21">
        <v>4150092</v>
      </c>
      <c r="J36" s="33">
        <v>3540500</v>
      </c>
      <c r="K36" s="34">
        <v>0</v>
      </c>
      <c r="L36" s="33">
        <f t="shared" si="12"/>
        <v>0</v>
      </c>
      <c r="M36" s="34">
        <v>0</v>
      </c>
      <c r="N36" s="33">
        <f t="shared" si="13"/>
        <v>0</v>
      </c>
      <c r="O36" s="34">
        <v>0</v>
      </c>
      <c r="P36" s="33">
        <f t="shared" si="0"/>
        <v>0</v>
      </c>
      <c r="Q36" s="34">
        <v>1</v>
      </c>
      <c r="R36" s="33">
        <f t="shared" si="1"/>
        <v>4150092</v>
      </c>
      <c r="S36" s="34">
        <f t="shared" si="2"/>
        <v>1</v>
      </c>
      <c r="T36" s="34">
        <v>0.2</v>
      </c>
      <c r="U36" s="33">
        <v>4015000</v>
      </c>
      <c r="V36" s="35">
        <v>48395</v>
      </c>
      <c r="W36" s="54"/>
      <c r="X36" s="35">
        <v>48395</v>
      </c>
      <c r="Y36" s="72"/>
      <c r="Z36" s="57">
        <v>2032</v>
      </c>
      <c r="AA36" s="27">
        <v>2630.7</v>
      </c>
      <c r="AB36" s="33">
        <v>756</v>
      </c>
      <c r="AC36" s="54"/>
      <c r="AD36" s="34"/>
      <c r="AE36" s="62">
        <f t="shared" si="4"/>
        <v>0</v>
      </c>
      <c r="AF36" s="34">
        <v>1</v>
      </c>
      <c r="AG36" s="33">
        <f t="shared" si="5"/>
        <v>2630.7</v>
      </c>
      <c r="AH36" s="58"/>
      <c r="AI36" s="33">
        <f t="shared" si="6"/>
        <v>0</v>
      </c>
      <c r="AJ36" s="24"/>
      <c r="AK36" s="54">
        <f t="shared" si="9"/>
        <v>0</v>
      </c>
      <c r="AL36" s="34"/>
      <c r="AM36" s="59">
        <f t="shared" ref="AM36:AM59" si="14">AA36*AL36</f>
        <v>0</v>
      </c>
      <c r="AN36" s="68"/>
      <c r="AO36" s="60"/>
      <c r="AP36" s="68"/>
      <c r="AQ36" s="60"/>
      <c r="AR36" s="68"/>
      <c r="AS36" s="60"/>
      <c r="AT36" s="60"/>
      <c r="AU36" s="60"/>
      <c r="AV36" s="49"/>
      <c r="AW36" s="49"/>
      <c r="AX36" s="49"/>
    </row>
    <row r="37" spans="1:50" ht="15" customHeight="1">
      <c r="A37" s="55" t="s">
        <v>192</v>
      </c>
      <c r="B37" s="22" t="s">
        <v>383</v>
      </c>
      <c r="C37" s="24" t="s">
        <v>476</v>
      </c>
      <c r="D37" s="34" t="s">
        <v>187</v>
      </c>
      <c r="E37" s="176">
        <v>4916744.1900000004</v>
      </c>
      <c r="F37" s="27">
        <v>1392780.46</v>
      </c>
      <c r="G37" s="33"/>
      <c r="H37" s="34" t="s">
        <v>37</v>
      </c>
      <c r="I37" s="21">
        <v>1444401</v>
      </c>
      <c r="J37" s="33">
        <v>1533000</v>
      </c>
      <c r="K37" s="34">
        <v>0</v>
      </c>
      <c r="L37" s="33">
        <f t="shared" si="12"/>
        <v>0</v>
      </c>
      <c r="M37" s="34">
        <v>0</v>
      </c>
      <c r="N37" s="33">
        <f t="shared" si="13"/>
        <v>0</v>
      </c>
      <c r="O37" s="34">
        <v>0</v>
      </c>
      <c r="P37" s="33">
        <f t="shared" si="0"/>
        <v>0</v>
      </c>
      <c r="Q37" s="34">
        <v>1</v>
      </c>
      <c r="R37" s="33">
        <f t="shared" si="1"/>
        <v>1444401</v>
      </c>
      <c r="S37" s="34">
        <f t="shared" si="2"/>
        <v>1</v>
      </c>
      <c r="T37" s="34">
        <v>0.05</v>
      </c>
      <c r="U37" s="33">
        <v>4288750</v>
      </c>
      <c r="V37" s="35">
        <v>48395</v>
      </c>
      <c r="W37" s="54"/>
      <c r="X37" s="35">
        <v>48395</v>
      </c>
      <c r="Y37" s="72"/>
      <c r="Z37" s="57">
        <v>2032</v>
      </c>
      <c r="AA37" s="27">
        <v>259.74</v>
      </c>
      <c r="AB37" s="33">
        <v>95</v>
      </c>
      <c r="AC37" s="54"/>
      <c r="AD37" s="34"/>
      <c r="AE37" s="62">
        <f t="shared" si="4"/>
        <v>0</v>
      </c>
      <c r="AF37" s="34">
        <v>1</v>
      </c>
      <c r="AG37" s="33">
        <f t="shared" si="5"/>
        <v>259.74</v>
      </c>
      <c r="AH37" s="58"/>
      <c r="AI37" s="33">
        <f t="shared" si="6"/>
        <v>0</v>
      </c>
      <c r="AJ37" s="24"/>
      <c r="AK37" s="54">
        <f t="shared" si="9"/>
        <v>0</v>
      </c>
      <c r="AL37" s="34"/>
      <c r="AM37" s="59">
        <f t="shared" si="14"/>
        <v>0</v>
      </c>
      <c r="AN37" s="67"/>
      <c r="AO37" s="60"/>
      <c r="AP37" s="60"/>
      <c r="AQ37" s="60"/>
      <c r="AR37" s="60"/>
      <c r="AS37" s="60"/>
      <c r="AT37" s="60"/>
      <c r="AU37" s="60"/>
      <c r="AV37" s="49"/>
      <c r="AW37" s="49"/>
      <c r="AX37" s="49"/>
    </row>
    <row r="38" spans="1:50" ht="15" customHeight="1">
      <c r="A38" s="55" t="s">
        <v>192</v>
      </c>
      <c r="B38" s="22" t="s">
        <v>383</v>
      </c>
      <c r="C38" s="24" t="s">
        <v>476</v>
      </c>
      <c r="D38" s="34" t="s">
        <v>188</v>
      </c>
      <c r="E38" s="176">
        <v>4945693.0180000002</v>
      </c>
      <c r="F38" s="27">
        <v>1417546.0020000001</v>
      </c>
      <c r="G38" s="33"/>
      <c r="H38" s="34" t="s">
        <v>54</v>
      </c>
      <c r="I38" s="21">
        <v>144993</v>
      </c>
      <c r="J38" s="33">
        <v>118625</v>
      </c>
      <c r="K38" s="34">
        <v>0</v>
      </c>
      <c r="L38" s="33">
        <f t="shared" si="12"/>
        <v>0</v>
      </c>
      <c r="M38" s="34">
        <v>1</v>
      </c>
      <c r="N38" s="33">
        <f t="shared" si="13"/>
        <v>144993</v>
      </c>
      <c r="O38" s="34">
        <v>0</v>
      </c>
      <c r="P38" s="33">
        <f t="shared" si="0"/>
        <v>0</v>
      </c>
      <c r="Q38" s="34">
        <v>0</v>
      </c>
      <c r="R38" s="33">
        <f t="shared" si="1"/>
        <v>0</v>
      </c>
      <c r="S38" s="34">
        <f t="shared" si="2"/>
        <v>1</v>
      </c>
      <c r="T38" s="34">
        <v>0</v>
      </c>
      <c r="U38" s="33">
        <v>365000</v>
      </c>
      <c r="V38" s="35">
        <v>46642</v>
      </c>
      <c r="W38" s="54"/>
      <c r="X38" s="28">
        <v>45323</v>
      </c>
      <c r="Y38" s="72"/>
      <c r="Z38" s="57">
        <v>2024</v>
      </c>
      <c r="AA38" s="33">
        <v>0</v>
      </c>
      <c r="AB38" s="33">
        <v>10</v>
      </c>
      <c r="AC38" s="54"/>
      <c r="AD38" s="34"/>
      <c r="AE38" s="62">
        <f t="shared" si="4"/>
        <v>0</v>
      </c>
      <c r="AF38" s="34">
        <v>1</v>
      </c>
      <c r="AG38" s="33">
        <f t="shared" si="5"/>
        <v>0</v>
      </c>
      <c r="AH38" s="58"/>
      <c r="AI38" s="33">
        <f t="shared" si="6"/>
        <v>0</v>
      </c>
      <c r="AJ38" s="24"/>
      <c r="AK38" s="54">
        <f t="shared" si="9"/>
        <v>0</v>
      </c>
      <c r="AL38" s="34"/>
      <c r="AM38" s="59">
        <f t="shared" si="14"/>
        <v>0</v>
      </c>
      <c r="AN38" s="60"/>
      <c r="AO38" s="67"/>
      <c r="AP38" s="68"/>
      <c r="AQ38" s="68"/>
      <c r="AR38" s="68"/>
      <c r="AS38" s="68"/>
      <c r="AT38" s="60"/>
      <c r="AU38" s="60"/>
      <c r="AV38" s="49"/>
      <c r="AW38" s="49"/>
      <c r="AX38" s="49"/>
    </row>
    <row r="39" spans="1:50" ht="15" customHeight="1">
      <c r="A39" s="55" t="s">
        <v>192</v>
      </c>
      <c r="B39" s="22" t="s">
        <v>383</v>
      </c>
      <c r="C39" s="24" t="s">
        <v>476</v>
      </c>
      <c r="D39" s="34" t="s">
        <v>189</v>
      </c>
      <c r="E39" s="176">
        <v>4934307.7309999997</v>
      </c>
      <c r="F39" s="27">
        <v>1412751.1669999999</v>
      </c>
      <c r="G39" s="33" t="s">
        <v>398</v>
      </c>
      <c r="H39" s="34" t="s">
        <v>53</v>
      </c>
      <c r="I39" s="21">
        <v>30774</v>
      </c>
      <c r="J39" s="33">
        <v>54020</v>
      </c>
      <c r="K39" s="34">
        <v>0</v>
      </c>
      <c r="L39" s="33">
        <f t="shared" si="12"/>
        <v>0</v>
      </c>
      <c r="M39" s="34">
        <v>1</v>
      </c>
      <c r="N39" s="33">
        <f t="shared" si="13"/>
        <v>30774</v>
      </c>
      <c r="O39" s="34">
        <v>0</v>
      </c>
      <c r="P39" s="33">
        <f t="shared" si="0"/>
        <v>0</v>
      </c>
      <c r="Q39" s="34">
        <v>0</v>
      </c>
      <c r="R39" s="33">
        <f t="shared" si="1"/>
        <v>0</v>
      </c>
      <c r="S39" s="34">
        <f t="shared" si="2"/>
        <v>1</v>
      </c>
      <c r="T39" s="34">
        <v>0</v>
      </c>
      <c r="U39" s="33">
        <v>86870</v>
      </c>
      <c r="V39" s="35">
        <v>45323</v>
      </c>
      <c r="W39" s="54"/>
      <c r="X39" s="35">
        <v>45323</v>
      </c>
      <c r="Y39" s="72"/>
      <c r="Z39" s="57">
        <v>2024</v>
      </c>
      <c r="AA39" s="33">
        <v>0</v>
      </c>
      <c r="AB39" s="33">
        <v>10</v>
      </c>
      <c r="AC39" s="54"/>
      <c r="AD39" s="34"/>
      <c r="AE39" s="62">
        <f t="shared" si="4"/>
        <v>0</v>
      </c>
      <c r="AF39" s="34">
        <v>1</v>
      </c>
      <c r="AG39" s="33">
        <f t="shared" si="5"/>
        <v>0</v>
      </c>
      <c r="AH39" s="58"/>
      <c r="AI39" s="33">
        <f t="shared" si="6"/>
        <v>0</v>
      </c>
      <c r="AJ39" s="24"/>
      <c r="AK39" s="54">
        <f t="shared" si="9"/>
        <v>0</v>
      </c>
      <c r="AL39" s="34"/>
      <c r="AM39" s="59">
        <f t="shared" si="14"/>
        <v>0</v>
      </c>
      <c r="AN39" s="60"/>
      <c r="AO39" s="67"/>
      <c r="AP39" s="67"/>
      <c r="AQ39" s="67"/>
      <c r="AR39" s="67"/>
      <c r="AS39" s="67"/>
      <c r="AT39" s="60"/>
      <c r="AU39" s="60"/>
      <c r="AV39" s="49"/>
      <c r="AW39" s="49"/>
      <c r="AX39" s="49"/>
    </row>
    <row r="40" spans="1:50" ht="15" customHeight="1">
      <c r="A40" s="55" t="s">
        <v>192</v>
      </c>
      <c r="B40" s="22" t="s">
        <v>383</v>
      </c>
      <c r="C40" s="24" t="s">
        <v>476</v>
      </c>
      <c r="D40" s="24" t="s">
        <v>190</v>
      </c>
      <c r="E40" s="176">
        <v>4938793.8250000002</v>
      </c>
      <c r="F40" s="27">
        <v>1415062.905</v>
      </c>
      <c r="G40" s="33" t="s">
        <v>398</v>
      </c>
      <c r="H40" s="34" t="s">
        <v>54</v>
      </c>
      <c r="I40" s="21">
        <v>5425.65</v>
      </c>
      <c r="J40" s="33">
        <v>2555</v>
      </c>
      <c r="K40" s="34">
        <v>0</v>
      </c>
      <c r="L40" s="33">
        <f t="shared" si="12"/>
        <v>0</v>
      </c>
      <c r="M40" s="34">
        <v>1</v>
      </c>
      <c r="N40" s="33">
        <f t="shared" si="13"/>
        <v>5425.65</v>
      </c>
      <c r="O40" s="34">
        <v>0</v>
      </c>
      <c r="P40" s="33">
        <f t="shared" si="0"/>
        <v>0</v>
      </c>
      <c r="Q40" s="34">
        <v>0</v>
      </c>
      <c r="R40" s="33">
        <f t="shared" si="1"/>
        <v>0</v>
      </c>
      <c r="S40" s="34">
        <f t="shared" si="2"/>
        <v>1</v>
      </c>
      <c r="T40" s="34">
        <v>0</v>
      </c>
      <c r="U40" s="33">
        <v>15768</v>
      </c>
      <c r="V40" s="35">
        <v>43405</v>
      </c>
      <c r="W40" s="54"/>
      <c r="X40" s="35">
        <v>43405</v>
      </c>
      <c r="Y40" s="72"/>
      <c r="Z40" s="57">
        <v>2018</v>
      </c>
      <c r="AA40" s="27">
        <v>12.65</v>
      </c>
      <c r="AB40" s="33">
        <v>10</v>
      </c>
      <c r="AC40" s="54"/>
      <c r="AD40" s="34"/>
      <c r="AE40" s="62">
        <f t="shared" si="4"/>
        <v>0</v>
      </c>
      <c r="AF40" s="34">
        <v>1</v>
      </c>
      <c r="AG40" s="33">
        <f t="shared" si="5"/>
        <v>12.65</v>
      </c>
      <c r="AH40" s="58"/>
      <c r="AI40" s="33">
        <f t="shared" si="6"/>
        <v>0</v>
      </c>
      <c r="AJ40" s="24"/>
      <c r="AK40" s="54">
        <f t="shared" si="9"/>
        <v>0</v>
      </c>
      <c r="AL40" s="34"/>
      <c r="AM40" s="59">
        <f t="shared" si="14"/>
        <v>0</v>
      </c>
      <c r="AN40" s="67"/>
      <c r="AO40" s="67"/>
      <c r="AP40" s="60"/>
      <c r="AQ40" s="60"/>
      <c r="AR40" s="60"/>
      <c r="AS40" s="60"/>
      <c r="AT40" s="60"/>
      <c r="AU40" s="60"/>
      <c r="AV40" s="49"/>
      <c r="AW40" s="49"/>
      <c r="AX40" s="49"/>
    </row>
    <row r="41" spans="1:50" ht="15" customHeight="1">
      <c r="A41" s="55" t="s">
        <v>192</v>
      </c>
      <c r="B41" s="22" t="s">
        <v>383</v>
      </c>
      <c r="C41" s="24" t="s">
        <v>476</v>
      </c>
      <c r="D41" s="24" t="s">
        <v>191</v>
      </c>
      <c r="E41" s="176">
        <v>4956618.5070000002</v>
      </c>
      <c r="F41" s="27">
        <v>1376286.969</v>
      </c>
      <c r="G41" s="33" t="s">
        <v>398</v>
      </c>
      <c r="H41" s="34" t="s">
        <v>53</v>
      </c>
      <c r="I41" s="21">
        <v>34998.9</v>
      </c>
      <c r="J41" s="33">
        <v>21900</v>
      </c>
      <c r="K41" s="34">
        <v>1</v>
      </c>
      <c r="L41" s="33">
        <f t="shared" si="12"/>
        <v>34998.9</v>
      </c>
      <c r="M41" s="34">
        <v>0</v>
      </c>
      <c r="N41" s="33">
        <f t="shared" si="13"/>
        <v>0</v>
      </c>
      <c r="O41" s="34">
        <v>0</v>
      </c>
      <c r="P41" s="33">
        <f t="shared" si="0"/>
        <v>0</v>
      </c>
      <c r="Q41" s="34">
        <v>0</v>
      </c>
      <c r="R41" s="33">
        <f t="shared" si="1"/>
        <v>0</v>
      </c>
      <c r="S41" s="34">
        <f t="shared" si="2"/>
        <v>1</v>
      </c>
      <c r="T41" s="34">
        <v>0</v>
      </c>
      <c r="U41" s="33">
        <v>131400</v>
      </c>
      <c r="V41" s="35">
        <v>44409</v>
      </c>
      <c r="W41" s="54"/>
      <c r="X41" s="35">
        <v>44409</v>
      </c>
      <c r="Y41" s="72"/>
      <c r="Z41" s="57">
        <v>2021</v>
      </c>
      <c r="AA41" s="33">
        <v>0</v>
      </c>
      <c r="AB41" s="33">
        <v>10</v>
      </c>
      <c r="AC41" s="54"/>
      <c r="AD41" s="34"/>
      <c r="AE41" s="62">
        <f t="shared" ref="AE41:AE59" si="15">AA41*AD41</f>
        <v>0</v>
      </c>
      <c r="AF41" s="34">
        <v>1</v>
      </c>
      <c r="AG41" s="33">
        <f t="shared" ref="AG41:AG59" si="16">AA41*AF41</f>
        <v>0</v>
      </c>
      <c r="AH41" s="58"/>
      <c r="AI41" s="33">
        <f t="shared" ref="AI41:AI59" si="17">AA41*AH41</f>
        <v>0</v>
      </c>
      <c r="AJ41" s="24"/>
      <c r="AK41" s="54">
        <f t="shared" si="9"/>
        <v>0</v>
      </c>
      <c r="AL41" s="34"/>
      <c r="AM41" s="59">
        <f t="shared" si="14"/>
        <v>0</v>
      </c>
      <c r="AN41" s="60"/>
      <c r="AO41" s="67"/>
      <c r="AP41" s="67"/>
      <c r="AQ41" s="67"/>
      <c r="AR41" s="67"/>
      <c r="AS41" s="67"/>
      <c r="AT41" s="60"/>
      <c r="AU41" s="60"/>
      <c r="AV41" s="49"/>
      <c r="AW41" s="49"/>
      <c r="AX41" s="49"/>
    </row>
    <row r="42" spans="1:50" ht="15" customHeight="1">
      <c r="A42" s="55" t="s">
        <v>359</v>
      </c>
      <c r="B42" s="22" t="s">
        <v>383</v>
      </c>
      <c r="C42" s="24" t="s">
        <v>476</v>
      </c>
      <c r="D42" s="24" t="s">
        <v>360</v>
      </c>
      <c r="E42" s="176">
        <v>6108300</v>
      </c>
      <c r="F42" s="27">
        <v>1614547</v>
      </c>
      <c r="G42" s="65" t="s">
        <v>408</v>
      </c>
      <c r="H42" s="24" t="s">
        <v>361</v>
      </c>
      <c r="I42" s="21">
        <v>116116</v>
      </c>
      <c r="J42" s="33">
        <v>76700</v>
      </c>
      <c r="K42" s="34">
        <v>1</v>
      </c>
      <c r="L42" s="33">
        <f t="shared" ref="L42:L56" si="18">$I42*K42</f>
        <v>116116</v>
      </c>
      <c r="M42" s="34">
        <v>0</v>
      </c>
      <c r="N42" s="33">
        <f t="shared" ref="N42:N56" si="19">$I42*M42</f>
        <v>0</v>
      </c>
      <c r="O42" s="34">
        <v>0</v>
      </c>
      <c r="P42" s="33">
        <f t="shared" si="0"/>
        <v>0</v>
      </c>
      <c r="Q42" s="34">
        <v>0</v>
      </c>
      <c r="R42" s="33">
        <f t="shared" si="1"/>
        <v>0</v>
      </c>
      <c r="S42" s="34">
        <f t="shared" si="2"/>
        <v>1</v>
      </c>
      <c r="T42" s="34">
        <v>0.02</v>
      </c>
      <c r="U42" s="27">
        <v>290</v>
      </c>
      <c r="V42" s="35">
        <v>48913</v>
      </c>
      <c r="W42" s="143">
        <v>48913</v>
      </c>
      <c r="X42" s="35">
        <v>48913</v>
      </c>
      <c r="Y42" s="22" t="s">
        <v>424</v>
      </c>
      <c r="Z42" s="57">
        <v>2033</v>
      </c>
      <c r="AA42" s="27">
        <v>4.5999999999999996</v>
      </c>
      <c r="AB42" s="33" t="s">
        <v>38</v>
      </c>
      <c r="AC42" s="54"/>
      <c r="AD42" s="34">
        <v>1</v>
      </c>
      <c r="AE42" s="62">
        <f t="shared" si="15"/>
        <v>4.5999999999999996</v>
      </c>
      <c r="AF42" s="34">
        <v>0</v>
      </c>
      <c r="AG42" s="33">
        <f t="shared" si="16"/>
        <v>0</v>
      </c>
      <c r="AH42" s="58">
        <v>0</v>
      </c>
      <c r="AI42" s="33">
        <f t="shared" si="17"/>
        <v>0</v>
      </c>
      <c r="AJ42" s="24" t="s">
        <v>362</v>
      </c>
      <c r="AK42" s="54"/>
      <c r="AL42" s="34"/>
      <c r="AM42" s="59">
        <f t="shared" si="14"/>
        <v>0</v>
      </c>
      <c r="AN42" s="60"/>
      <c r="AO42" s="60"/>
      <c r="AP42" s="60"/>
      <c r="AQ42" s="60"/>
      <c r="AR42" s="60"/>
      <c r="AS42" s="60"/>
      <c r="AT42" s="60"/>
      <c r="AU42" s="60"/>
      <c r="AV42" s="49"/>
      <c r="AW42" s="49"/>
      <c r="AX42" s="49"/>
    </row>
    <row r="43" spans="1:50" ht="15" customHeight="1">
      <c r="A43" s="55" t="s">
        <v>359</v>
      </c>
      <c r="B43" s="22" t="s">
        <v>383</v>
      </c>
      <c r="C43" s="24" t="s">
        <v>476</v>
      </c>
      <c r="D43" s="24" t="s">
        <v>447</v>
      </c>
      <c r="E43" s="176">
        <v>6124297</v>
      </c>
      <c r="F43" s="27">
        <v>1641899</v>
      </c>
      <c r="G43" s="65" t="s">
        <v>408</v>
      </c>
      <c r="H43" s="24" t="s">
        <v>361</v>
      </c>
      <c r="I43" s="21">
        <v>168816</v>
      </c>
      <c r="J43" s="33">
        <v>166500</v>
      </c>
      <c r="K43" s="34">
        <v>1</v>
      </c>
      <c r="L43" s="33">
        <f t="shared" si="18"/>
        <v>168816</v>
      </c>
      <c r="M43" s="34">
        <v>0</v>
      </c>
      <c r="N43" s="33">
        <f t="shared" si="19"/>
        <v>0</v>
      </c>
      <c r="O43" s="34">
        <v>0</v>
      </c>
      <c r="P43" s="33">
        <f t="shared" si="0"/>
        <v>0</v>
      </c>
      <c r="Q43" s="34">
        <v>0</v>
      </c>
      <c r="R43" s="33">
        <f t="shared" si="1"/>
        <v>0</v>
      </c>
      <c r="S43" s="34">
        <f t="shared" si="2"/>
        <v>1</v>
      </c>
      <c r="T43" s="34">
        <v>0.05</v>
      </c>
      <c r="U43" s="27">
        <v>900</v>
      </c>
      <c r="V43" s="35">
        <v>39782</v>
      </c>
      <c r="W43" s="143">
        <v>39782</v>
      </c>
      <c r="X43" s="35">
        <v>39782</v>
      </c>
      <c r="Y43" s="22" t="s">
        <v>436</v>
      </c>
      <c r="Z43" s="57">
        <v>2008</v>
      </c>
      <c r="AA43" s="27">
        <v>3.4</v>
      </c>
      <c r="AB43" s="33" t="s">
        <v>38</v>
      </c>
      <c r="AC43" s="54"/>
      <c r="AD43" s="34">
        <v>1</v>
      </c>
      <c r="AE43" s="62">
        <f t="shared" si="15"/>
        <v>3.4</v>
      </c>
      <c r="AF43" s="34">
        <v>0</v>
      </c>
      <c r="AG43" s="33">
        <f t="shared" si="16"/>
        <v>0</v>
      </c>
      <c r="AH43" s="58">
        <v>0</v>
      </c>
      <c r="AI43" s="33">
        <f t="shared" si="17"/>
        <v>0</v>
      </c>
      <c r="AJ43" s="24" t="s">
        <v>362</v>
      </c>
      <c r="AK43" s="54"/>
      <c r="AL43" s="34"/>
      <c r="AM43" s="59">
        <f t="shared" si="14"/>
        <v>0</v>
      </c>
      <c r="AN43" s="60"/>
      <c r="AO43" s="60"/>
      <c r="AP43" s="60"/>
      <c r="AQ43" s="60"/>
      <c r="AR43" s="60"/>
      <c r="AS43" s="60"/>
      <c r="AT43" s="60"/>
      <c r="AU43" s="60"/>
      <c r="AV43" s="49"/>
      <c r="AW43" s="49"/>
      <c r="AX43" s="49"/>
    </row>
    <row r="44" spans="1:50" ht="15" customHeight="1">
      <c r="A44" s="55" t="s">
        <v>359</v>
      </c>
      <c r="B44" s="22" t="s">
        <v>383</v>
      </c>
      <c r="C44" s="24" t="s">
        <v>476</v>
      </c>
      <c r="D44" s="24" t="s">
        <v>363</v>
      </c>
      <c r="E44" s="176">
        <v>6129562</v>
      </c>
      <c r="F44" s="27">
        <v>1649290</v>
      </c>
      <c r="G44" s="65" t="s">
        <v>408</v>
      </c>
      <c r="H44" s="24" t="s">
        <v>365</v>
      </c>
      <c r="I44" s="21">
        <v>18790</v>
      </c>
      <c r="J44" s="33">
        <v>23900</v>
      </c>
      <c r="K44" s="34">
        <v>1</v>
      </c>
      <c r="L44" s="33">
        <f t="shared" si="18"/>
        <v>18790</v>
      </c>
      <c r="M44" s="34">
        <v>0</v>
      </c>
      <c r="N44" s="33">
        <f t="shared" si="19"/>
        <v>0</v>
      </c>
      <c r="O44" s="34">
        <v>0</v>
      </c>
      <c r="P44" s="33">
        <f t="shared" si="0"/>
        <v>0</v>
      </c>
      <c r="Q44" s="34">
        <v>0</v>
      </c>
      <c r="R44" s="33">
        <f t="shared" si="1"/>
        <v>0</v>
      </c>
      <c r="S44" s="34">
        <f t="shared" si="2"/>
        <v>1</v>
      </c>
      <c r="T44" s="34">
        <v>0.02</v>
      </c>
      <c r="U44" s="27">
        <v>75</v>
      </c>
      <c r="V44" s="35">
        <v>44895</v>
      </c>
      <c r="W44" s="143">
        <v>44895</v>
      </c>
      <c r="X44" s="35">
        <v>44895</v>
      </c>
      <c r="Y44" s="22" t="s">
        <v>424</v>
      </c>
      <c r="Z44" s="57">
        <v>2022</v>
      </c>
      <c r="AA44" s="27">
        <v>0.3</v>
      </c>
      <c r="AB44" s="33" t="s">
        <v>38</v>
      </c>
      <c r="AC44" s="54"/>
      <c r="AD44" s="34">
        <v>0</v>
      </c>
      <c r="AE44" s="62">
        <f t="shared" si="15"/>
        <v>0</v>
      </c>
      <c r="AF44" s="34">
        <v>0</v>
      </c>
      <c r="AG44" s="33">
        <f t="shared" si="16"/>
        <v>0</v>
      </c>
      <c r="AH44" s="58">
        <v>0</v>
      </c>
      <c r="AI44" s="33">
        <f t="shared" si="17"/>
        <v>0</v>
      </c>
      <c r="AJ44" s="24"/>
      <c r="AK44" s="54"/>
      <c r="AL44" s="34">
        <v>1</v>
      </c>
      <c r="AM44" s="59">
        <f t="shared" si="14"/>
        <v>0.3</v>
      </c>
      <c r="AN44" s="60"/>
      <c r="AO44" s="60"/>
      <c r="AP44" s="60"/>
      <c r="AQ44" s="60"/>
      <c r="AR44" s="60"/>
      <c r="AS44" s="60"/>
      <c r="AT44" s="60"/>
      <c r="AU44" s="60"/>
      <c r="AV44" s="49"/>
      <c r="AW44" s="49"/>
      <c r="AX44" s="49"/>
    </row>
    <row r="45" spans="1:50" ht="15" customHeight="1">
      <c r="A45" s="55" t="s">
        <v>359</v>
      </c>
      <c r="B45" s="22" t="s">
        <v>383</v>
      </c>
      <c r="C45" s="24" t="s">
        <v>476</v>
      </c>
      <c r="D45" s="24" t="s">
        <v>364</v>
      </c>
      <c r="E45" s="176">
        <v>6115580</v>
      </c>
      <c r="F45" s="27">
        <v>1669780</v>
      </c>
      <c r="G45" s="65" t="s">
        <v>408</v>
      </c>
      <c r="H45" s="24" t="s">
        <v>365</v>
      </c>
      <c r="I45" s="21">
        <v>68820</v>
      </c>
      <c r="J45" s="33">
        <v>69300</v>
      </c>
      <c r="K45" s="34">
        <v>1</v>
      </c>
      <c r="L45" s="33">
        <f t="shared" si="18"/>
        <v>68820</v>
      </c>
      <c r="M45" s="34">
        <v>0</v>
      </c>
      <c r="N45" s="33">
        <f t="shared" si="19"/>
        <v>0</v>
      </c>
      <c r="O45" s="34">
        <v>0</v>
      </c>
      <c r="P45" s="33">
        <f t="shared" si="0"/>
        <v>0</v>
      </c>
      <c r="Q45" s="34">
        <v>0</v>
      </c>
      <c r="R45" s="33">
        <f t="shared" si="1"/>
        <v>0</v>
      </c>
      <c r="S45" s="34">
        <f t="shared" si="2"/>
        <v>1</v>
      </c>
      <c r="T45" s="34">
        <v>0.05</v>
      </c>
      <c r="U45" s="27">
        <v>270</v>
      </c>
      <c r="V45" s="35">
        <v>44865</v>
      </c>
      <c r="W45" s="143">
        <v>44865</v>
      </c>
      <c r="X45" s="35">
        <v>44865</v>
      </c>
      <c r="Y45" s="22" t="s">
        <v>424</v>
      </c>
      <c r="Z45" s="57">
        <v>2022</v>
      </c>
      <c r="AA45" s="27">
        <v>2.1</v>
      </c>
      <c r="AB45" s="33" t="s">
        <v>38</v>
      </c>
      <c r="AC45" s="54"/>
      <c r="AD45" s="34">
        <v>1</v>
      </c>
      <c r="AE45" s="62">
        <f t="shared" si="15"/>
        <v>2.1</v>
      </c>
      <c r="AF45" s="34">
        <v>0</v>
      </c>
      <c r="AG45" s="33">
        <f t="shared" si="16"/>
        <v>0</v>
      </c>
      <c r="AH45" s="58">
        <v>0</v>
      </c>
      <c r="AI45" s="33">
        <f t="shared" si="17"/>
        <v>0</v>
      </c>
      <c r="AJ45" s="24" t="s">
        <v>362</v>
      </c>
      <c r="AK45" s="54"/>
      <c r="AL45" s="34"/>
      <c r="AM45" s="59">
        <f t="shared" si="14"/>
        <v>0</v>
      </c>
      <c r="AN45" s="60"/>
      <c r="AO45" s="60"/>
      <c r="AP45" s="60"/>
      <c r="AQ45" s="60"/>
      <c r="AR45" s="60"/>
      <c r="AS45" s="60"/>
      <c r="AT45" s="60"/>
      <c r="AU45" s="60"/>
      <c r="AV45" s="49"/>
      <c r="AW45" s="49"/>
      <c r="AX45" s="49"/>
    </row>
    <row r="46" spans="1:50" ht="15" customHeight="1">
      <c r="A46" s="55" t="s">
        <v>359</v>
      </c>
      <c r="B46" s="22" t="s">
        <v>383</v>
      </c>
      <c r="C46" s="24" t="s">
        <v>476</v>
      </c>
      <c r="D46" s="24" t="s">
        <v>366</v>
      </c>
      <c r="E46" s="176">
        <v>6079466</v>
      </c>
      <c r="F46" s="27">
        <v>1674525</v>
      </c>
      <c r="G46" s="65" t="s">
        <v>408</v>
      </c>
      <c r="H46" s="24" t="s">
        <v>361</v>
      </c>
      <c r="I46" s="21">
        <v>606303</v>
      </c>
      <c r="J46" s="33">
        <v>688200</v>
      </c>
      <c r="K46" s="34">
        <v>1</v>
      </c>
      <c r="L46" s="33">
        <f t="shared" si="18"/>
        <v>606303</v>
      </c>
      <c r="M46" s="34">
        <v>0</v>
      </c>
      <c r="N46" s="33">
        <f t="shared" si="19"/>
        <v>0</v>
      </c>
      <c r="O46" s="34">
        <v>0</v>
      </c>
      <c r="P46" s="33">
        <f t="shared" si="0"/>
        <v>0</v>
      </c>
      <c r="Q46" s="34">
        <v>0</v>
      </c>
      <c r="R46" s="33">
        <f t="shared" si="1"/>
        <v>0</v>
      </c>
      <c r="S46" s="34">
        <f t="shared" si="2"/>
        <v>1</v>
      </c>
      <c r="T46" s="34">
        <v>0.1</v>
      </c>
      <c r="U46" s="27">
        <v>2100</v>
      </c>
      <c r="V46" s="35">
        <v>44530</v>
      </c>
      <c r="W46" s="143">
        <v>44530</v>
      </c>
      <c r="X46" s="35">
        <v>44530</v>
      </c>
      <c r="Y46" s="22" t="s">
        <v>424</v>
      </c>
      <c r="Z46" s="57">
        <v>2021</v>
      </c>
      <c r="AA46" s="27">
        <v>22.3</v>
      </c>
      <c r="AB46" s="33" t="s">
        <v>38</v>
      </c>
      <c r="AC46" s="54"/>
      <c r="AD46" s="34">
        <v>1</v>
      </c>
      <c r="AE46" s="62">
        <f t="shared" si="15"/>
        <v>22.3</v>
      </c>
      <c r="AF46" s="34">
        <v>0</v>
      </c>
      <c r="AG46" s="33">
        <f t="shared" si="16"/>
        <v>0</v>
      </c>
      <c r="AH46" s="58">
        <v>0</v>
      </c>
      <c r="AI46" s="33">
        <f t="shared" si="17"/>
        <v>0</v>
      </c>
      <c r="AJ46" s="24" t="s">
        <v>362</v>
      </c>
      <c r="AK46" s="54"/>
      <c r="AL46" s="34"/>
      <c r="AM46" s="59">
        <f t="shared" si="14"/>
        <v>0</v>
      </c>
      <c r="AN46" s="60"/>
      <c r="AO46" s="60"/>
      <c r="AP46" s="60"/>
      <c r="AQ46" s="60"/>
      <c r="AR46" s="60"/>
      <c r="AS46" s="60"/>
      <c r="AT46" s="60"/>
      <c r="AU46" s="60"/>
      <c r="AV46" s="49"/>
      <c r="AW46" s="49"/>
      <c r="AX46" s="49"/>
    </row>
    <row r="47" spans="1:50" ht="15" customHeight="1">
      <c r="A47" s="55" t="s">
        <v>359</v>
      </c>
      <c r="B47" s="22" t="s">
        <v>383</v>
      </c>
      <c r="C47" s="24" t="s">
        <v>476</v>
      </c>
      <c r="D47" s="24" t="s">
        <v>367</v>
      </c>
      <c r="E47" s="176">
        <v>6114496</v>
      </c>
      <c r="F47" s="27">
        <v>1620595</v>
      </c>
      <c r="G47" s="65" t="s">
        <v>408</v>
      </c>
      <c r="H47" s="24" t="s">
        <v>361</v>
      </c>
      <c r="I47" s="21">
        <v>701227</v>
      </c>
      <c r="J47" s="33">
        <v>751000</v>
      </c>
      <c r="K47" s="34">
        <v>1</v>
      </c>
      <c r="L47" s="33">
        <f t="shared" si="18"/>
        <v>701227</v>
      </c>
      <c r="M47" s="34">
        <v>0</v>
      </c>
      <c r="N47" s="33">
        <f t="shared" si="19"/>
        <v>0</v>
      </c>
      <c r="O47" s="34">
        <v>0</v>
      </c>
      <c r="P47" s="33">
        <f t="shared" si="0"/>
        <v>0</v>
      </c>
      <c r="Q47" s="34">
        <v>0</v>
      </c>
      <c r="R47" s="33">
        <f t="shared" si="1"/>
        <v>0</v>
      </c>
      <c r="S47" s="34">
        <f t="shared" si="2"/>
        <v>1</v>
      </c>
      <c r="T47" s="34">
        <v>0.4</v>
      </c>
      <c r="U47" s="27">
        <v>1900</v>
      </c>
      <c r="V47" s="35">
        <v>44531</v>
      </c>
      <c r="W47" s="143">
        <v>44531</v>
      </c>
      <c r="X47" s="35">
        <v>44531</v>
      </c>
      <c r="Y47" s="22" t="s">
        <v>424</v>
      </c>
      <c r="Z47" s="57">
        <v>2021</v>
      </c>
      <c r="AA47" s="27">
        <v>25.8</v>
      </c>
      <c r="AB47" s="33" t="s">
        <v>38</v>
      </c>
      <c r="AC47" s="54"/>
      <c r="AD47" s="34">
        <v>1</v>
      </c>
      <c r="AE47" s="62">
        <f t="shared" si="15"/>
        <v>25.8</v>
      </c>
      <c r="AF47" s="34">
        <v>0</v>
      </c>
      <c r="AG47" s="33">
        <f t="shared" si="16"/>
        <v>0</v>
      </c>
      <c r="AH47" s="58">
        <v>0</v>
      </c>
      <c r="AI47" s="33">
        <f t="shared" si="17"/>
        <v>0</v>
      </c>
      <c r="AJ47" s="24" t="s">
        <v>362</v>
      </c>
      <c r="AK47" s="54"/>
      <c r="AL47" s="34"/>
      <c r="AM47" s="59">
        <f t="shared" si="14"/>
        <v>0</v>
      </c>
      <c r="AN47" s="60"/>
      <c r="AO47" s="60"/>
      <c r="AP47" s="60"/>
      <c r="AQ47" s="60"/>
      <c r="AR47" s="60"/>
      <c r="AS47" s="60"/>
      <c r="AT47" s="60"/>
      <c r="AU47" s="60"/>
      <c r="AV47" s="49"/>
      <c r="AW47" s="49"/>
      <c r="AX47" s="49"/>
    </row>
    <row r="48" spans="1:50" ht="15" customHeight="1">
      <c r="A48" s="55" t="s">
        <v>359</v>
      </c>
      <c r="B48" s="22" t="s">
        <v>383</v>
      </c>
      <c r="C48" s="24" t="s">
        <v>476</v>
      </c>
      <c r="D48" s="24" t="s">
        <v>368</v>
      </c>
      <c r="E48" s="176">
        <v>6085550</v>
      </c>
      <c r="F48" s="27">
        <v>1697850</v>
      </c>
      <c r="G48" s="65" t="s">
        <v>408</v>
      </c>
      <c r="H48" s="24" t="s">
        <v>365</v>
      </c>
      <c r="I48" s="21">
        <v>274234</v>
      </c>
      <c r="J48" s="33">
        <v>242100</v>
      </c>
      <c r="K48" s="34">
        <v>1</v>
      </c>
      <c r="L48" s="33">
        <f t="shared" si="18"/>
        <v>274234</v>
      </c>
      <c r="M48" s="34">
        <v>0</v>
      </c>
      <c r="N48" s="33">
        <f t="shared" si="19"/>
        <v>0</v>
      </c>
      <c r="O48" s="34">
        <v>0</v>
      </c>
      <c r="P48" s="33">
        <f t="shared" si="0"/>
        <v>0</v>
      </c>
      <c r="Q48" s="34">
        <v>0</v>
      </c>
      <c r="R48" s="33">
        <f t="shared" si="1"/>
        <v>0</v>
      </c>
      <c r="S48" s="34">
        <f t="shared" si="2"/>
        <v>1</v>
      </c>
      <c r="T48" s="34">
        <v>0.1</v>
      </c>
      <c r="U48" s="27">
        <v>1300</v>
      </c>
      <c r="V48" s="35">
        <v>49795</v>
      </c>
      <c r="W48" s="143">
        <v>49795</v>
      </c>
      <c r="X48" s="35">
        <v>49795</v>
      </c>
      <c r="Y48" s="22" t="s">
        <v>424</v>
      </c>
      <c r="Z48" s="57">
        <v>2036</v>
      </c>
      <c r="AA48" s="27">
        <v>4.5999999999999996</v>
      </c>
      <c r="AB48" s="33" t="s">
        <v>38</v>
      </c>
      <c r="AC48" s="54"/>
      <c r="AD48" s="34">
        <v>1</v>
      </c>
      <c r="AE48" s="62">
        <f t="shared" si="15"/>
        <v>4.5999999999999996</v>
      </c>
      <c r="AF48" s="34">
        <v>0</v>
      </c>
      <c r="AG48" s="33">
        <f t="shared" si="16"/>
        <v>0</v>
      </c>
      <c r="AH48" s="58">
        <v>0</v>
      </c>
      <c r="AI48" s="33">
        <f t="shared" si="17"/>
        <v>0</v>
      </c>
      <c r="AJ48" s="24"/>
      <c r="AK48" s="54"/>
      <c r="AL48" s="34"/>
      <c r="AM48" s="59">
        <f t="shared" si="14"/>
        <v>0</v>
      </c>
      <c r="AN48" s="60"/>
      <c r="AO48" s="60"/>
      <c r="AP48" s="60"/>
      <c r="AQ48" s="60"/>
      <c r="AR48" s="60"/>
      <c r="AS48" s="60"/>
      <c r="AT48" s="60"/>
      <c r="AU48" s="60"/>
      <c r="AV48" s="49"/>
      <c r="AW48" s="49"/>
      <c r="AX48" s="49"/>
    </row>
    <row r="49" spans="1:50" ht="15" customHeight="1">
      <c r="A49" s="55" t="s">
        <v>359</v>
      </c>
      <c r="B49" s="22" t="s">
        <v>383</v>
      </c>
      <c r="C49" s="24" t="s">
        <v>476</v>
      </c>
      <c r="D49" s="24" t="s">
        <v>369</v>
      </c>
      <c r="E49" s="176">
        <v>6100507</v>
      </c>
      <c r="F49" s="27">
        <v>1687261</v>
      </c>
      <c r="G49" s="65" t="s">
        <v>408</v>
      </c>
      <c r="H49" s="24" t="s">
        <v>365</v>
      </c>
      <c r="I49" s="21">
        <v>194694</v>
      </c>
      <c r="J49" s="33">
        <v>150400</v>
      </c>
      <c r="K49" s="34">
        <v>1</v>
      </c>
      <c r="L49" s="33">
        <f t="shared" si="18"/>
        <v>194694</v>
      </c>
      <c r="M49" s="34">
        <v>0</v>
      </c>
      <c r="N49" s="33">
        <f t="shared" si="19"/>
        <v>0</v>
      </c>
      <c r="O49" s="34">
        <v>0</v>
      </c>
      <c r="P49" s="33">
        <f t="shared" si="0"/>
        <v>0</v>
      </c>
      <c r="Q49" s="34">
        <v>0</v>
      </c>
      <c r="R49" s="33">
        <f t="shared" si="1"/>
        <v>0</v>
      </c>
      <c r="S49" s="34">
        <f t="shared" si="2"/>
        <v>1</v>
      </c>
      <c r="T49" s="34">
        <v>0.1</v>
      </c>
      <c r="U49" s="27">
        <v>480</v>
      </c>
      <c r="V49" s="35">
        <v>42094</v>
      </c>
      <c r="W49" s="143">
        <v>42094</v>
      </c>
      <c r="X49" s="35">
        <v>42094</v>
      </c>
      <c r="Y49" s="22" t="s">
        <v>436</v>
      </c>
      <c r="Z49" s="57">
        <v>2015</v>
      </c>
      <c r="AA49" s="27">
        <v>2.9</v>
      </c>
      <c r="AB49" s="33" t="s">
        <v>38</v>
      </c>
      <c r="AC49" s="54"/>
      <c r="AD49" s="34">
        <v>0</v>
      </c>
      <c r="AE49" s="62">
        <f t="shared" si="15"/>
        <v>0</v>
      </c>
      <c r="AF49" s="34">
        <v>0</v>
      </c>
      <c r="AG49" s="33">
        <f t="shared" si="16"/>
        <v>0</v>
      </c>
      <c r="AH49" s="58">
        <v>0</v>
      </c>
      <c r="AI49" s="33">
        <f t="shared" si="17"/>
        <v>0</v>
      </c>
      <c r="AJ49" s="24"/>
      <c r="AK49" s="54"/>
      <c r="AL49" s="34">
        <v>1</v>
      </c>
      <c r="AM49" s="59">
        <f t="shared" si="14"/>
        <v>2.9</v>
      </c>
      <c r="AN49" s="60"/>
      <c r="AO49" s="60"/>
      <c r="AP49" s="60"/>
      <c r="AQ49" s="60"/>
      <c r="AR49" s="60"/>
      <c r="AS49" s="60"/>
      <c r="AT49" s="60"/>
      <c r="AU49" s="60"/>
      <c r="AV49" s="49"/>
      <c r="AW49" s="49"/>
      <c r="AX49" s="49"/>
    </row>
    <row r="50" spans="1:50" ht="15" customHeight="1">
      <c r="A50" s="55" t="s">
        <v>359</v>
      </c>
      <c r="B50" s="22" t="s">
        <v>383</v>
      </c>
      <c r="C50" s="24" t="s">
        <v>476</v>
      </c>
      <c r="D50" s="24" t="s">
        <v>370</v>
      </c>
      <c r="E50" s="176">
        <v>6082749</v>
      </c>
      <c r="F50" s="27">
        <v>1648612</v>
      </c>
      <c r="G50" s="65" t="s">
        <v>408</v>
      </c>
      <c r="H50" s="24" t="s">
        <v>361</v>
      </c>
      <c r="I50" s="21">
        <v>9649</v>
      </c>
      <c r="J50" s="33">
        <v>10600</v>
      </c>
      <c r="K50" s="34">
        <v>0</v>
      </c>
      <c r="L50" s="33">
        <f t="shared" si="18"/>
        <v>0</v>
      </c>
      <c r="M50" s="34">
        <v>0</v>
      </c>
      <c r="N50" s="33">
        <f t="shared" si="19"/>
        <v>0</v>
      </c>
      <c r="O50" s="34">
        <v>1</v>
      </c>
      <c r="P50" s="33">
        <f t="shared" si="0"/>
        <v>9649</v>
      </c>
      <c r="Q50" s="34">
        <v>0</v>
      </c>
      <c r="R50" s="33">
        <f t="shared" si="1"/>
        <v>0</v>
      </c>
      <c r="S50" s="34">
        <f t="shared" si="2"/>
        <v>1</v>
      </c>
      <c r="T50" s="34">
        <v>0.05</v>
      </c>
      <c r="U50" s="27">
        <v>130</v>
      </c>
      <c r="V50" s="35">
        <v>42613</v>
      </c>
      <c r="W50" s="143">
        <v>42613</v>
      </c>
      <c r="X50" s="35">
        <v>42613</v>
      </c>
      <c r="Y50" s="22" t="s">
        <v>436</v>
      </c>
      <c r="Z50" s="57">
        <v>2016</v>
      </c>
      <c r="AA50" s="27">
        <v>0.4</v>
      </c>
      <c r="AB50" s="33" t="s">
        <v>38</v>
      </c>
      <c r="AC50" s="54"/>
      <c r="AD50" s="34">
        <v>1</v>
      </c>
      <c r="AE50" s="62">
        <f t="shared" si="15"/>
        <v>0.4</v>
      </c>
      <c r="AF50" s="34">
        <v>0</v>
      </c>
      <c r="AG50" s="33">
        <f t="shared" si="16"/>
        <v>0</v>
      </c>
      <c r="AH50" s="58">
        <v>0</v>
      </c>
      <c r="AI50" s="33">
        <f t="shared" si="17"/>
        <v>0</v>
      </c>
      <c r="AJ50" s="24" t="s">
        <v>362</v>
      </c>
      <c r="AK50" s="54"/>
      <c r="AL50" s="34"/>
      <c r="AM50" s="59">
        <f t="shared" si="14"/>
        <v>0</v>
      </c>
      <c r="AN50" s="60"/>
      <c r="AO50" s="60"/>
      <c r="AP50" s="60"/>
      <c r="AQ50" s="60"/>
      <c r="AR50" s="60"/>
      <c r="AS50" s="60"/>
      <c r="AT50" s="60"/>
      <c r="AU50" s="60"/>
      <c r="AV50" s="49"/>
      <c r="AW50" s="49"/>
      <c r="AX50" s="49"/>
    </row>
    <row r="51" spans="1:50" ht="15" customHeight="1">
      <c r="A51" s="55" t="s">
        <v>359</v>
      </c>
      <c r="B51" s="22" t="s">
        <v>383</v>
      </c>
      <c r="C51" s="24" t="s">
        <v>476</v>
      </c>
      <c r="D51" s="24" t="s">
        <v>371</v>
      </c>
      <c r="E51" s="176">
        <v>6069420</v>
      </c>
      <c r="F51" s="27">
        <v>1635620</v>
      </c>
      <c r="G51" s="65" t="s">
        <v>408</v>
      </c>
      <c r="H51" s="24" t="s">
        <v>361</v>
      </c>
      <c r="I51" s="21">
        <v>72527</v>
      </c>
      <c r="J51" s="33">
        <v>72700</v>
      </c>
      <c r="K51" s="34">
        <v>0</v>
      </c>
      <c r="L51" s="33">
        <f t="shared" si="18"/>
        <v>0</v>
      </c>
      <c r="M51" s="34">
        <v>0</v>
      </c>
      <c r="N51" s="33">
        <f t="shared" si="19"/>
        <v>0</v>
      </c>
      <c r="O51" s="34">
        <v>1</v>
      </c>
      <c r="P51" s="33">
        <f t="shared" si="0"/>
        <v>72527</v>
      </c>
      <c r="Q51" s="34">
        <v>0</v>
      </c>
      <c r="R51" s="33">
        <f t="shared" si="1"/>
        <v>0</v>
      </c>
      <c r="S51" s="34">
        <f t="shared" si="2"/>
        <v>1</v>
      </c>
      <c r="T51" s="34">
        <v>0.08</v>
      </c>
      <c r="U51" s="27">
        <v>170</v>
      </c>
      <c r="V51" s="35">
        <v>43708</v>
      </c>
      <c r="W51" s="143">
        <v>43708</v>
      </c>
      <c r="X51" s="35">
        <v>43708</v>
      </c>
      <c r="Y51" s="22" t="s">
        <v>424</v>
      </c>
      <c r="Z51" s="57">
        <v>2019</v>
      </c>
      <c r="AA51" s="27">
        <v>0.2</v>
      </c>
      <c r="AB51" s="33" t="s">
        <v>38</v>
      </c>
      <c r="AC51" s="54"/>
      <c r="AD51" s="34">
        <v>1</v>
      </c>
      <c r="AE51" s="62">
        <f t="shared" si="15"/>
        <v>0.2</v>
      </c>
      <c r="AF51" s="34">
        <v>0</v>
      </c>
      <c r="AG51" s="33">
        <f t="shared" si="16"/>
        <v>0</v>
      </c>
      <c r="AH51" s="58">
        <v>0</v>
      </c>
      <c r="AI51" s="33">
        <f t="shared" si="17"/>
        <v>0</v>
      </c>
      <c r="AJ51" s="24" t="s">
        <v>362</v>
      </c>
      <c r="AK51" s="54"/>
      <c r="AL51" s="34"/>
      <c r="AM51" s="59">
        <f t="shared" si="14"/>
        <v>0</v>
      </c>
      <c r="AN51" s="60"/>
      <c r="AO51" s="60"/>
      <c r="AP51" s="60"/>
      <c r="AQ51" s="60"/>
      <c r="AR51" s="60"/>
      <c r="AS51" s="60"/>
      <c r="AT51" s="60"/>
      <c r="AU51" s="60"/>
      <c r="AV51" s="49"/>
      <c r="AW51" s="49"/>
      <c r="AX51" s="49"/>
    </row>
    <row r="52" spans="1:50" ht="15" customHeight="1">
      <c r="A52" s="55" t="s">
        <v>359</v>
      </c>
      <c r="B52" s="22" t="s">
        <v>383</v>
      </c>
      <c r="C52" s="24" t="s">
        <v>476</v>
      </c>
      <c r="D52" s="24" t="s">
        <v>372</v>
      </c>
      <c r="E52" s="176">
        <v>6097950</v>
      </c>
      <c r="F52" s="27">
        <v>1693350</v>
      </c>
      <c r="G52" s="65" t="s">
        <v>408</v>
      </c>
      <c r="H52" s="24" t="s">
        <v>361</v>
      </c>
      <c r="I52" s="21">
        <v>404933</v>
      </c>
      <c r="J52" s="33">
        <v>409200</v>
      </c>
      <c r="K52" s="34">
        <v>1</v>
      </c>
      <c r="L52" s="33">
        <f t="shared" si="18"/>
        <v>404933</v>
      </c>
      <c r="M52" s="34">
        <v>0</v>
      </c>
      <c r="N52" s="33">
        <f t="shared" si="19"/>
        <v>0</v>
      </c>
      <c r="O52" s="34">
        <v>0</v>
      </c>
      <c r="P52" s="33">
        <f t="shared" si="0"/>
        <v>0</v>
      </c>
      <c r="Q52" s="34">
        <v>0</v>
      </c>
      <c r="R52" s="33">
        <f t="shared" si="1"/>
        <v>0</v>
      </c>
      <c r="S52" s="34">
        <f t="shared" si="2"/>
        <v>1</v>
      </c>
      <c r="T52" s="34">
        <v>0.12</v>
      </c>
      <c r="U52" s="27">
        <v>1500</v>
      </c>
      <c r="V52" s="35">
        <v>49064</v>
      </c>
      <c r="W52" s="143">
        <v>49064</v>
      </c>
      <c r="X52" s="35">
        <v>49064</v>
      </c>
      <c r="Y52" s="22" t="s">
        <v>424</v>
      </c>
      <c r="Z52" s="57">
        <v>2034</v>
      </c>
      <c r="AA52" s="27">
        <v>12.1</v>
      </c>
      <c r="AB52" s="33" t="s">
        <v>38</v>
      </c>
      <c r="AC52" s="54"/>
      <c r="AD52" s="34">
        <v>1</v>
      </c>
      <c r="AE52" s="62">
        <f t="shared" si="15"/>
        <v>12.1</v>
      </c>
      <c r="AF52" s="34">
        <v>0</v>
      </c>
      <c r="AG52" s="33">
        <f t="shared" si="16"/>
        <v>0</v>
      </c>
      <c r="AH52" s="58">
        <v>0</v>
      </c>
      <c r="AI52" s="33">
        <f t="shared" si="17"/>
        <v>0</v>
      </c>
      <c r="AJ52" s="24" t="s">
        <v>362</v>
      </c>
      <c r="AK52" s="54"/>
      <c r="AL52" s="34"/>
      <c r="AM52" s="59">
        <f t="shared" si="14"/>
        <v>0</v>
      </c>
      <c r="AN52" s="60"/>
      <c r="AO52" s="60"/>
      <c r="AP52" s="60"/>
      <c r="AQ52" s="60"/>
      <c r="AR52" s="60"/>
      <c r="AS52" s="60"/>
      <c r="AT52" s="60"/>
      <c r="AU52" s="60"/>
      <c r="AV52" s="49"/>
      <c r="AW52" s="49"/>
      <c r="AX52" s="49"/>
    </row>
    <row r="53" spans="1:50" ht="15" customHeight="1">
      <c r="A53" s="55" t="s">
        <v>359</v>
      </c>
      <c r="B53" s="22" t="s">
        <v>383</v>
      </c>
      <c r="C53" s="24" t="s">
        <v>476</v>
      </c>
      <c r="D53" s="24" t="s">
        <v>373</v>
      </c>
      <c r="E53" s="176">
        <v>6140319</v>
      </c>
      <c r="F53" s="27">
        <v>1626936</v>
      </c>
      <c r="G53" s="65" t="s">
        <v>408</v>
      </c>
      <c r="H53" s="24" t="s">
        <v>361</v>
      </c>
      <c r="I53" s="21">
        <v>5896</v>
      </c>
      <c r="J53" s="33">
        <v>6400</v>
      </c>
      <c r="K53" s="34">
        <v>0</v>
      </c>
      <c r="L53" s="33">
        <f t="shared" si="18"/>
        <v>0</v>
      </c>
      <c r="M53" s="34">
        <v>1</v>
      </c>
      <c r="N53" s="33">
        <f t="shared" si="19"/>
        <v>5896</v>
      </c>
      <c r="O53" s="34">
        <v>0</v>
      </c>
      <c r="P53" s="33">
        <f t="shared" si="0"/>
        <v>0</v>
      </c>
      <c r="Q53" s="34">
        <v>0</v>
      </c>
      <c r="R53" s="33">
        <f t="shared" si="1"/>
        <v>0</v>
      </c>
      <c r="S53" s="34">
        <f t="shared" si="2"/>
        <v>1</v>
      </c>
      <c r="T53" s="34">
        <v>0.02</v>
      </c>
      <c r="U53" s="27">
        <v>30</v>
      </c>
      <c r="V53" s="35">
        <v>48548</v>
      </c>
      <c r="W53" s="143">
        <v>48548</v>
      </c>
      <c r="X53" s="35">
        <v>48548</v>
      </c>
      <c r="Y53" s="22" t="s">
        <v>424</v>
      </c>
      <c r="Z53" s="57">
        <v>2032</v>
      </c>
      <c r="AA53" s="27">
        <v>0.2</v>
      </c>
      <c r="AB53" s="33" t="s">
        <v>38</v>
      </c>
      <c r="AC53" s="54"/>
      <c r="AD53" s="34">
        <v>1</v>
      </c>
      <c r="AE53" s="62">
        <f t="shared" si="15"/>
        <v>0.2</v>
      </c>
      <c r="AF53" s="34">
        <v>0</v>
      </c>
      <c r="AG53" s="33">
        <f t="shared" si="16"/>
        <v>0</v>
      </c>
      <c r="AH53" s="58">
        <v>0</v>
      </c>
      <c r="AI53" s="33">
        <f t="shared" si="17"/>
        <v>0</v>
      </c>
      <c r="AJ53" s="24" t="s">
        <v>362</v>
      </c>
      <c r="AK53" s="54"/>
      <c r="AL53" s="34"/>
      <c r="AM53" s="59">
        <f t="shared" si="14"/>
        <v>0</v>
      </c>
      <c r="AN53" s="60"/>
      <c r="AO53" s="60"/>
      <c r="AP53" s="60"/>
      <c r="AQ53" s="60"/>
      <c r="AR53" s="60"/>
      <c r="AS53" s="60"/>
      <c r="AT53" s="60"/>
      <c r="AU53" s="60"/>
      <c r="AV53" s="49"/>
      <c r="AW53" s="49"/>
      <c r="AX53" s="49"/>
    </row>
    <row r="54" spans="1:50" ht="15" customHeight="1">
      <c r="A54" s="55" t="s">
        <v>359</v>
      </c>
      <c r="B54" s="22" t="s">
        <v>383</v>
      </c>
      <c r="C54" s="24" t="s">
        <v>476</v>
      </c>
      <c r="D54" s="24" t="s">
        <v>374</v>
      </c>
      <c r="E54" s="176">
        <v>6080822</v>
      </c>
      <c r="F54" s="27">
        <v>1645520</v>
      </c>
      <c r="G54" s="65" t="s">
        <v>408</v>
      </c>
      <c r="H54" s="24" t="s">
        <v>361</v>
      </c>
      <c r="I54" s="21">
        <v>45244</v>
      </c>
      <c r="J54" s="33">
        <v>45500</v>
      </c>
      <c r="K54" s="34">
        <v>0</v>
      </c>
      <c r="L54" s="33">
        <f t="shared" si="18"/>
        <v>0</v>
      </c>
      <c r="M54" s="34">
        <v>0</v>
      </c>
      <c r="N54" s="33">
        <f t="shared" si="19"/>
        <v>0</v>
      </c>
      <c r="O54" s="34">
        <v>1</v>
      </c>
      <c r="P54" s="33">
        <f t="shared" si="0"/>
        <v>45244</v>
      </c>
      <c r="Q54" s="34">
        <v>0</v>
      </c>
      <c r="R54" s="33">
        <f t="shared" si="1"/>
        <v>0</v>
      </c>
      <c r="S54" s="34">
        <f t="shared" si="2"/>
        <v>1</v>
      </c>
      <c r="T54" s="34">
        <v>0.05</v>
      </c>
      <c r="U54" s="27">
        <v>180</v>
      </c>
      <c r="V54" s="35">
        <v>45230</v>
      </c>
      <c r="W54" s="143">
        <v>45230</v>
      </c>
      <c r="X54" s="35">
        <v>45230</v>
      </c>
      <c r="Y54" s="22" t="s">
        <v>424</v>
      </c>
      <c r="Z54" s="57">
        <v>2023</v>
      </c>
      <c r="AA54" s="27">
        <v>1.4</v>
      </c>
      <c r="AB54" s="33" t="s">
        <v>38</v>
      </c>
      <c r="AC54" s="54"/>
      <c r="AD54" s="34">
        <v>1</v>
      </c>
      <c r="AE54" s="62">
        <f t="shared" si="15"/>
        <v>1.4</v>
      </c>
      <c r="AF54" s="34">
        <v>0</v>
      </c>
      <c r="AG54" s="33">
        <f t="shared" si="16"/>
        <v>0</v>
      </c>
      <c r="AH54" s="58">
        <v>0</v>
      </c>
      <c r="AI54" s="33">
        <f t="shared" si="17"/>
        <v>0</v>
      </c>
      <c r="AJ54" s="24" t="s">
        <v>362</v>
      </c>
      <c r="AK54" s="54"/>
      <c r="AL54" s="34"/>
      <c r="AM54" s="59">
        <f t="shared" si="14"/>
        <v>0</v>
      </c>
      <c r="AN54" s="60"/>
      <c r="AO54" s="60"/>
      <c r="AP54" s="60"/>
      <c r="AQ54" s="60"/>
      <c r="AR54" s="60"/>
      <c r="AS54" s="60"/>
      <c r="AT54" s="60"/>
      <c r="AU54" s="60"/>
      <c r="AV54" s="49"/>
      <c r="AW54" s="49"/>
      <c r="AX54" s="49"/>
    </row>
    <row r="55" spans="1:50" ht="15" customHeight="1">
      <c r="A55" s="55" t="s">
        <v>359</v>
      </c>
      <c r="B55" s="22" t="s">
        <v>383</v>
      </c>
      <c r="C55" s="24" t="s">
        <v>476</v>
      </c>
      <c r="D55" s="24" t="s">
        <v>375</v>
      </c>
      <c r="E55" s="176">
        <v>6096527</v>
      </c>
      <c r="F55" s="27">
        <v>1703384</v>
      </c>
      <c r="G55" s="65" t="s">
        <v>408</v>
      </c>
      <c r="H55" s="24" t="s">
        <v>365</v>
      </c>
      <c r="I55" s="21">
        <v>84681</v>
      </c>
      <c r="J55" s="33">
        <v>94700</v>
      </c>
      <c r="K55" s="34">
        <v>0</v>
      </c>
      <c r="L55" s="33">
        <f t="shared" si="18"/>
        <v>0</v>
      </c>
      <c r="M55" s="34">
        <v>1</v>
      </c>
      <c r="N55" s="33">
        <f t="shared" si="19"/>
        <v>84681</v>
      </c>
      <c r="O55" s="34">
        <v>0</v>
      </c>
      <c r="P55" s="33">
        <f t="shared" si="0"/>
        <v>0</v>
      </c>
      <c r="Q55" s="34">
        <v>0</v>
      </c>
      <c r="R55" s="33">
        <f t="shared" si="1"/>
        <v>0</v>
      </c>
      <c r="S55" s="34">
        <f t="shared" si="2"/>
        <v>1</v>
      </c>
      <c r="T55" s="34">
        <v>0.08</v>
      </c>
      <c r="U55" s="27">
        <v>300</v>
      </c>
      <c r="V55" s="35">
        <v>45412</v>
      </c>
      <c r="W55" s="143">
        <v>45412</v>
      </c>
      <c r="X55" s="35">
        <v>45412</v>
      </c>
      <c r="Y55" s="22" t="s">
        <v>424</v>
      </c>
      <c r="Z55" s="57">
        <v>2024</v>
      </c>
      <c r="AA55" s="27">
        <v>1.3</v>
      </c>
      <c r="AB55" s="33" t="s">
        <v>38</v>
      </c>
      <c r="AC55" s="54"/>
      <c r="AD55" s="34">
        <v>0</v>
      </c>
      <c r="AE55" s="62">
        <f t="shared" si="15"/>
        <v>0</v>
      </c>
      <c r="AF55" s="34">
        <v>0</v>
      </c>
      <c r="AG55" s="33">
        <f t="shared" si="16"/>
        <v>0</v>
      </c>
      <c r="AH55" s="58">
        <v>0</v>
      </c>
      <c r="AI55" s="33">
        <f t="shared" si="17"/>
        <v>0</v>
      </c>
      <c r="AJ55" s="24"/>
      <c r="AK55" s="54"/>
      <c r="AL55" s="34">
        <v>1</v>
      </c>
      <c r="AM55" s="59">
        <f t="shared" si="14"/>
        <v>1.3</v>
      </c>
      <c r="AN55" s="22"/>
      <c r="AO55" s="60"/>
      <c r="AP55" s="60"/>
      <c r="AQ55" s="60"/>
      <c r="AR55" s="60"/>
      <c r="AS55" s="60"/>
      <c r="AT55" s="60"/>
      <c r="AU55" s="60"/>
      <c r="AV55" s="49"/>
      <c r="AW55" s="49"/>
      <c r="AX55" s="49"/>
    </row>
    <row r="56" spans="1:50" ht="15" customHeight="1">
      <c r="A56" s="55" t="s">
        <v>359</v>
      </c>
      <c r="B56" s="22" t="s">
        <v>383</v>
      </c>
      <c r="C56" s="24" t="s">
        <v>476</v>
      </c>
      <c r="D56" s="24" t="s">
        <v>376</v>
      </c>
      <c r="E56" s="176">
        <v>6141700</v>
      </c>
      <c r="F56" s="27">
        <v>1633600</v>
      </c>
      <c r="G56" s="65" t="s">
        <v>408</v>
      </c>
      <c r="H56" s="24" t="s">
        <v>365</v>
      </c>
      <c r="I56" s="21">
        <v>38886</v>
      </c>
      <c r="J56" s="33">
        <v>43900</v>
      </c>
      <c r="K56" s="34">
        <v>1</v>
      </c>
      <c r="L56" s="33">
        <f t="shared" si="18"/>
        <v>38886</v>
      </c>
      <c r="M56" s="34">
        <v>0</v>
      </c>
      <c r="N56" s="33">
        <f t="shared" si="19"/>
        <v>0</v>
      </c>
      <c r="O56" s="34">
        <v>0</v>
      </c>
      <c r="P56" s="33">
        <f t="shared" si="0"/>
        <v>0</v>
      </c>
      <c r="Q56" s="34">
        <v>0</v>
      </c>
      <c r="R56" s="33">
        <f t="shared" si="1"/>
        <v>0</v>
      </c>
      <c r="S56" s="34">
        <f t="shared" si="2"/>
        <v>1</v>
      </c>
      <c r="T56" s="34">
        <v>0.02</v>
      </c>
      <c r="U56" s="27">
        <v>210</v>
      </c>
      <c r="V56" s="35">
        <v>45991</v>
      </c>
      <c r="W56" s="143">
        <v>45991</v>
      </c>
      <c r="X56" s="35">
        <v>45991</v>
      </c>
      <c r="Y56" s="22" t="s">
        <v>424</v>
      </c>
      <c r="Z56" s="57">
        <v>2025</v>
      </c>
      <c r="AA56" s="27">
        <v>0.8</v>
      </c>
      <c r="AB56" s="33" t="s">
        <v>38</v>
      </c>
      <c r="AC56" s="54"/>
      <c r="AD56" s="34">
        <v>1</v>
      </c>
      <c r="AE56" s="62">
        <f t="shared" si="15"/>
        <v>0.8</v>
      </c>
      <c r="AF56" s="34">
        <v>0</v>
      </c>
      <c r="AG56" s="33">
        <f t="shared" si="16"/>
        <v>0</v>
      </c>
      <c r="AH56" s="58">
        <v>0</v>
      </c>
      <c r="AI56" s="33">
        <f t="shared" si="17"/>
        <v>0</v>
      </c>
      <c r="AJ56" s="24" t="s">
        <v>362</v>
      </c>
      <c r="AK56" s="54"/>
      <c r="AL56" s="34"/>
      <c r="AM56" s="59">
        <f t="shared" si="14"/>
        <v>0</v>
      </c>
      <c r="AN56" s="22"/>
      <c r="AO56" s="60"/>
      <c r="AP56" s="60"/>
      <c r="AQ56" s="60"/>
      <c r="AR56" s="60"/>
      <c r="AS56" s="60"/>
      <c r="AT56" s="60"/>
      <c r="AU56" s="60"/>
      <c r="AV56" s="49"/>
      <c r="AW56" s="49"/>
      <c r="AX56" s="49"/>
    </row>
    <row r="57" spans="1:50" ht="15" customHeight="1">
      <c r="A57" s="55" t="s">
        <v>184</v>
      </c>
      <c r="B57" s="22" t="s">
        <v>383</v>
      </c>
      <c r="C57" s="24" t="s">
        <v>476</v>
      </c>
      <c r="D57" s="34" t="s">
        <v>181</v>
      </c>
      <c r="E57" s="177">
        <v>4884959.7300000004</v>
      </c>
      <c r="F57" s="33">
        <v>1286616.42</v>
      </c>
      <c r="G57" s="33"/>
      <c r="H57" s="35" t="s">
        <v>54</v>
      </c>
      <c r="I57" s="21">
        <v>1095824.3</v>
      </c>
      <c r="J57" s="33">
        <v>213073.58</v>
      </c>
      <c r="K57" s="34">
        <v>1</v>
      </c>
      <c r="L57" s="33">
        <f>I57*K57</f>
        <v>1095824.3</v>
      </c>
      <c r="M57" s="34">
        <v>0</v>
      </c>
      <c r="N57" s="33">
        <f>I57*M57</f>
        <v>0</v>
      </c>
      <c r="O57" s="34">
        <v>0</v>
      </c>
      <c r="P57" s="33">
        <f t="shared" si="0"/>
        <v>0</v>
      </c>
      <c r="Q57" s="34">
        <v>0</v>
      </c>
      <c r="R57" s="33">
        <f t="shared" si="1"/>
        <v>0</v>
      </c>
      <c r="S57" s="34">
        <f t="shared" si="2"/>
        <v>1</v>
      </c>
      <c r="T57" s="34">
        <v>0.95</v>
      </c>
      <c r="U57" s="33"/>
      <c r="V57" s="28">
        <v>45291</v>
      </c>
      <c r="W57" s="78" t="s">
        <v>39</v>
      </c>
      <c r="X57" s="24" t="s">
        <v>39</v>
      </c>
      <c r="Y57" s="22"/>
      <c r="Z57" s="57"/>
      <c r="AA57" s="33"/>
      <c r="AB57" s="33"/>
      <c r="AC57" s="54"/>
      <c r="AD57" s="34"/>
      <c r="AE57" s="62">
        <f t="shared" si="15"/>
        <v>0</v>
      </c>
      <c r="AF57" s="34"/>
      <c r="AG57" s="33">
        <f t="shared" si="16"/>
        <v>0</v>
      </c>
      <c r="AH57" s="58"/>
      <c r="AI57" s="33">
        <f t="shared" si="17"/>
        <v>0</v>
      </c>
      <c r="AJ57" s="24"/>
      <c r="AK57" s="54">
        <f>AJ57*AA57</f>
        <v>0</v>
      </c>
      <c r="AL57" s="34"/>
      <c r="AM57" s="59">
        <f t="shared" si="14"/>
        <v>0</v>
      </c>
      <c r="AN57" s="64"/>
      <c r="AO57" s="67"/>
      <c r="AP57" s="67"/>
      <c r="AQ57" s="67"/>
      <c r="AR57" s="67"/>
      <c r="AS57" s="67"/>
      <c r="AT57" s="60"/>
      <c r="AU57" s="60"/>
      <c r="AV57" s="49"/>
      <c r="AW57" s="49"/>
      <c r="AX57" s="49"/>
    </row>
    <row r="58" spans="1:50" ht="15" customHeight="1">
      <c r="A58" s="55" t="s">
        <v>184</v>
      </c>
      <c r="B58" s="22" t="s">
        <v>383</v>
      </c>
      <c r="C58" s="24" t="s">
        <v>476</v>
      </c>
      <c r="D58" s="34" t="s">
        <v>182</v>
      </c>
      <c r="E58" s="177">
        <v>4873020.5199999996</v>
      </c>
      <c r="F58" s="33">
        <v>1279985.1399999999</v>
      </c>
      <c r="G58" s="33"/>
      <c r="H58" s="35" t="s">
        <v>54</v>
      </c>
      <c r="I58" s="21">
        <v>904198.25</v>
      </c>
      <c r="J58" s="33">
        <v>118453.45</v>
      </c>
      <c r="K58" s="34">
        <v>1</v>
      </c>
      <c r="L58" s="33">
        <f>I58*K58</f>
        <v>904198.25</v>
      </c>
      <c r="M58" s="34">
        <v>0</v>
      </c>
      <c r="N58" s="33">
        <f>I58*M58</f>
        <v>0</v>
      </c>
      <c r="O58" s="34">
        <v>0</v>
      </c>
      <c r="P58" s="33">
        <f t="shared" si="0"/>
        <v>0</v>
      </c>
      <c r="Q58" s="34">
        <v>0</v>
      </c>
      <c r="R58" s="33">
        <f t="shared" si="1"/>
        <v>0</v>
      </c>
      <c r="S58" s="34">
        <f t="shared" si="2"/>
        <v>1</v>
      </c>
      <c r="T58" s="34">
        <v>0.05</v>
      </c>
      <c r="U58" s="33"/>
      <c r="V58" s="34" t="s">
        <v>39</v>
      </c>
      <c r="W58" s="78" t="s">
        <v>39</v>
      </c>
      <c r="X58" s="24" t="s">
        <v>39</v>
      </c>
      <c r="Y58" s="22"/>
      <c r="Z58" s="57"/>
      <c r="AA58" s="33"/>
      <c r="AB58" s="33"/>
      <c r="AC58" s="54"/>
      <c r="AD58" s="34"/>
      <c r="AE58" s="62">
        <f t="shared" si="15"/>
        <v>0</v>
      </c>
      <c r="AF58" s="34"/>
      <c r="AG58" s="33">
        <f t="shared" si="16"/>
        <v>0</v>
      </c>
      <c r="AH58" s="58"/>
      <c r="AI58" s="33">
        <f t="shared" si="17"/>
        <v>0</v>
      </c>
      <c r="AJ58" s="24"/>
      <c r="AK58" s="54">
        <f>AJ58*AA58</f>
        <v>0</v>
      </c>
      <c r="AL58" s="34"/>
      <c r="AM58" s="59">
        <f t="shared" si="14"/>
        <v>0</v>
      </c>
      <c r="AN58" s="67"/>
      <c r="AO58" s="67"/>
      <c r="AP58" s="67"/>
      <c r="AQ58" s="67"/>
      <c r="AR58" s="67"/>
      <c r="AS58" s="67"/>
      <c r="AT58" s="60"/>
      <c r="AU58" s="60"/>
      <c r="AV58" s="49"/>
      <c r="AW58" s="49"/>
      <c r="AX58" s="49"/>
    </row>
    <row r="59" spans="1:50" ht="15" customHeight="1">
      <c r="A59" s="55" t="s">
        <v>184</v>
      </c>
      <c r="B59" s="22" t="s">
        <v>383</v>
      </c>
      <c r="C59" s="24" t="s">
        <v>476</v>
      </c>
      <c r="D59" s="34" t="s">
        <v>183</v>
      </c>
      <c r="E59" s="177">
        <v>4906044.45</v>
      </c>
      <c r="F59" s="33">
        <v>1290734.93</v>
      </c>
      <c r="G59" s="33"/>
      <c r="H59" s="24" t="s">
        <v>54</v>
      </c>
      <c r="I59" s="33"/>
      <c r="J59" s="33"/>
      <c r="K59" s="34">
        <v>1</v>
      </c>
      <c r="L59" s="33">
        <f>I59*K59</f>
        <v>0</v>
      </c>
      <c r="M59" s="34">
        <v>0</v>
      </c>
      <c r="N59" s="33">
        <f>I59*M59</f>
        <v>0</v>
      </c>
      <c r="O59" s="34">
        <v>0</v>
      </c>
      <c r="P59" s="33">
        <f t="shared" si="0"/>
        <v>0</v>
      </c>
      <c r="Q59" s="34">
        <v>0</v>
      </c>
      <c r="R59" s="33">
        <f t="shared" si="1"/>
        <v>0</v>
      </c>
      <c r="S59" s="34">
        <f t="shared" si="2"/>
        <v>1</v>
      </c>
      <c r="T59" s="34">
        <v>0</v>
      </c>
      <c r="U59" s="33"/>
      <c r="V59" s="34" t="s">
        <v>39</v>
      </c>
      <c r="W59" s="78" t="s">
        <v>39</v>
      </c>
      <c r="X59" s="24" t="s">
        <v>39</v>
      </c>
      <c r="Y59" s="22"/>
      <c r="Z59" s="57"/>
      <c r="AA59" s="33"/>
      <c r="AB59" s="33"/>
      <c r="AC59" s="54"/>
      <c r="AD59" s="34"/>
      <c r="AE59" s="62">
        <f t="shared" si="15"/>
        <v>0</v>
      </c>
      <c r="AF59" s="34"/>
      <c r="AG59" s="33">
        <f t="shared" si="16"/>
        <v>0</v>
      </c>
      <c r="AH59" s="58"/>
      <c r="AI59" s="33">
        <f t="shared" si="17"/>
        <v>0</v>
      </c>
      <c r="AJ59" s="24"/>
      <c r="AK59" s="54">
        <f>AJ59*AA59</f>
        <v>0</v>
      </c>
      <c r="AL59" s="34"/>
      <c r="AM59" s="59">
        <f t="shared" si="14"/>
        <v>0</v>
      </c>
      <c r="AN59" s="69"/>
      <c r="AO59" s="69"/>
      <c r="AP59" s="60"/>
      <c r="AQ59" s="60"/>
      <c r="AR59" s="60"/>
      <c r="AS59" s="60"/>
      <c r="AT59" s="60"/>
      <c r="AU59" s="60"/>
      <c r="AV59" s="49"/>
      <c r="AW59" s="49"/>
      <c r="AX59" s="49"/>
    </row>
    <row r="60" spans="1:50" ht="15" customHeight="1">
      <c r="A60" s="55" t="s">
        <v>448</v>
      </c>
      <c r="B60" s="22" t="s">
        <v>383</v>
      </c>
      <c r="C60" s="24" t="s">
        <v>476</v>
      </c>
      <c r="D60" s="24" t="s">
        <v>449</v>
      </c>
      <c r="E60" s="116">
        <v>5307096</v>
      </c>
      <c r="F60" s="24">
        <v>1469160</v>
      </c>
      <c r="G60" s="24" t="s">
        <v>481</v>
      </c>
      <c r="H60" s="24" t="s">
        <v>37</v>
      </c>
      <c r="I60" s="21">
        <v>153000</v>
      </c>
      <c r="J60" s="33"/>
      <c r="K60" s="34">
        <v>1</v>
      </c>
      <c r="L60" s="33">
        <f t="shared" ref="L60:L66" si="20">$I60*K60</f>
        <v>153000</v>
      </c>
      <c r="M60" s="34"/>
      <c r="N60" s="33">
        <f t="shared" ref="N60:N66" si="21">$I60*M60</f>
        <v>0</v>
      </c>
      <c r="O60" s="34"/>
      <c r="P60" s="33">
        <f t="shared" si="0"/>
        <v>0</v>
      </c>
      <c r="Q60" s="34"/>
      <c r="R60" s="33">
        <f t="shared" si="1"/>
        <v>0</v>
      </c>
      <c r="S60" s="34">
        <f t="shared" si="2"/>
        <v>1</v>
      </c>
      <c r="T60" s="34">
        <v>0.02</v>
      </c>
      <c r="U60" s="33"/>
      <c r="V60" s="28">
        <v>47565</v>
      </c>
      <c r="W60" s="54"/>
      <c r="X60" s="28">
        <v>47565</v>
      </c>
      <c r="Y60" s="22" t="s">
        <v>424</v>
      </c>
      <c r="Z60" s="57">
        <v>2030</v>
      </c>
      <c r="AA60" s="33"/>
      <c r="AB60" s="33"/>
      <c r="AC60" s="54"/>
      <c r="AD60" s="34"/>
      <c r="AE60" s="62"/>
      <c r="AF60" s="34"/>
      <c r="AG60" s="33"/>
      <c r="AH60" s="58"/>
      <c r="AI60" s="33"/>
      <c r="AJ60" s="24"/>
      <c r="AK60" s="54"/>
      <c r="AL60" s="34"/>
      <c r="AM60" s="59"/>
      <c r="AN60" s="60"/>
      <c r="AO60" s="60"/>
      <c r="AP60" s="60"/>
      <c r="AQ60" s="60"/>
      <c r="AR60" s="60"/>
      <c r="AS60" s="60"/>
      <c r="AT60" s="60"/>
      <c r="AU60" s="60"/>
      <c r="AV60" s="49"/>
      <c r="AW60" s="49"/>
      <c r="AX60" s="49"/>
    </row>
    <row r="61" spans="1:50" ht="15" customHeight="1">
      <c r="A61" s="55" t="s">
        <v>448</v>
      </c>
      <c r="B61" s="22" t="s">
        <v>383</v>
      </c>
      <c r="C61" s="24" t="s">
        <v>476</v>
      </c>
      <c r="D61" s="24" t="s">
        <v>450</v>
      </c>
      <c r="E61" s="116">
        <v>5298425</v>
      </c>
      <c r="F61" s="24">
        <v>1451958</v>
      </c>
      <c r="G61" s="24" t="s">
        <v>481</v>
      </c>
      <c r="H61" s="24" t="s">
        <v>37</v>
      </c>
      <c r="I61" s="21">
        <v>2701000</v>
      </c>
      <c r="J61" s="33"/>
      <c r="K61" s="34"/>
      <c r="L61" s="33">
        <f t="shared" si="20"/>
        <v>0</v>
      </c>
      <c r="M61" s="34">
        <v>1</v>
      </c>
      <c r="N61" s="33">
        <f t="shared" si="21"/>
        <v>2701000</v>
      </c>
      <c r="O61" s="34"/>
      <c r="P61" s="33">
        <f t="shared" si="0"/>
        <v>0</v>
      </c>
      <c r="Q61" s="34"/>
      <c r="R61" s="33">
        <f t="shared" si="1"/>
        <v>0</v>
      </c>
      <c r="S61" s="34">
        <f t="shared" si="2"/>
        <v>1</v>
      </c>
      <c r="T61" s="34">
        <v>0.2</v>
      </c>
      <c r="U61" s="27">
        <v>7884000</v>
      </c>
      <c r="V61" s="24"/>
      <c r="W61" s="54"/>
      <c r="X61" s="24"/>
      <c r="Y61" s="22" t="s">
        <v>424</v>
      </c>
      <c r="Z61" s="57"/>
      <c r="AA61" s="33"/>
      <c r="AB61" s="33"/>
      <c r="AC61" s="54"/>
      <c r="AD61" s="34"/>
      <c r="AE61" s="62"/>
      <c r="AF61" s="34"/>
      <c r="AG61" s="33"/>
      <c r="AH61" s="58"/>
      <c r="AI61" s="33"/>
      <c r="AJ61" s="24"/>
      <c r="AK61" s="54"/>
      <c r="AL61" s="34"/>
      <c r="AM61" s="59"/>
      <c r="AN61" s="60"/>
      <c r="AO61" s="60"/>
      <c r="AP61" s="60"/>
      <c r="AQ61" s="60"/>
      <c r="AR61" s="60"/>
      <c r="AS61" s="60"/>
      <c r="AT61" s="60"/>
      <c r="AU61" s="60"/>
      <c r="AV61" s="49"/>
      <c r="AW61" s="49"/>
      <c r="AX61" s="49"/>
    </row>
    <row r="62" spans="1:50" ht="15" customHeight="1">
      <c r="A62" s="55" t="s">
        <v>448</v>
      </c>
      <c r="B62" s="22" t="s">
        <v>383</v>
      </c>
      <c r="C62" s="24" t="s">
        <v>476</v>
      </c>
      <c r="D62" s="24" t="s">
        <v>451</v>
      </c>
      <c r="E62" s="116">
        <v>5299761</v>
      </c>
      <c r="F62" s="24">
        <v>1452198</v>
      </c>
      <c r="G62" s="24"/>
      <c r="H62" s="24" t="s">
        <v>53</v>
      </c>
      <c r="I62" s="21">
        <v>820000</v>
      </c>
      <c r="J62" s="33"/>
      <c r="K62" s="34"/>
      <c r="L62" s="33">
        <f t="shared" si="20"/>
        <v>0</v>
      </c>
      <c r="M62" s="34">
        <v>1</v>
      </c>
      <c r="N62" s="33">
        <f t="shared" si="21"/>
        <v>820000</v>
      </c>
      <c r="O62" s="34"/>
      <c r="P62" s="33">
        <f t="shared" si="0"/>
        <v>0</v>
      </c>
      <c r="Q62" s="34"/>
      <c r="R62" s="33">
        <f t="shared" si="1"/>
        <v>0</v>
      </c>
      <c r="S62" s="34">
        <f t="shared" si="2"/>
        <v>1</v>
      </c>
      <c r="T62" s="34">
        <v>1</v>
      </c>
      <c r="U62" s="33"/>
      <c r="V62" s="28">
        <v>41459</v>
      </c>
      <c r="W62" s="54"/>
      <c r="X62" s="28">
        <v>41459</v>
      </c>
      <c r="Y62" s="22" t="s">
        <v>436</v>
      </c>
      <c r="Z62" s="57">
        <v>2013</v>
      </c>
      <c r="AA62" s="33"/>
      <c r="AB62" s="33"/>
      <c r="AC62" s="54"/>
      <c r="AD62" s="34"/>
      <c r="AE62" s="62"/>
      <c r="AF62" s="34"/>
      <c r="AG62" s="33"/>
      <c r="AH62" s="58"/>
      <c r="AI62" s="33"/>
      <c r="AJ62" s="24"/>
      <c r="AK62" s="54"/>
      <c r="AL62" s="34"/>
      <c r="AM62" s="59"/>
      <c r="AN62" s="60"/>
      <c r="AO62" s="60"/>
      <c r="AP62" s="60"/>
      <c r="AQ62" s="60"/>
      <c r="AR62" s="60"/>
      <c r="AS62" s="60"/>
      <c r="AT62" s="60"/>
      <c r="AU62" s="60"/>
      <c r="AV62" s="49"/>
      <c r="AW62" s="49"/>
      <c r="AX62" s="49"/>
    </row>
    <row r="63" spans="1:50" ht="15" customHeight="1">
      <c r="A63" s="55" t="s">
        <v>448</v>
      </c>
      <c r="B63" s="22" t="s">
        <v>383</v>
      </c>
      <c r="C63" s="24" t="s">
        <v>476</v>
      </c>
      <c r="D63" s="24" t="s">
        <v>452</v>
      </c>
      <c r="E63" s="116">
        <v>5285762.1500000004</v>
      </c>
      <c r="F63" s="24">
        <v>1474595.17</v>
      </c>
      <c r="G63" s="24" t="s">
        <v>480</v>
      </c>
      <c r="H63" s="24" t="s">
        <v>37</v>
      </c>
      <c r="I63" s="21">
        <v>37600</v>
      </c>
      <c r="J63" s="33"/>
      <c r="K63" s="34"/>
      <c r="L63" s="33">
        <f t="shared" si="20"/>
        <v>0</v>
      </c>
      <c r="M63" s="34"/>
      <c r="N63" s="33">
        <f t="shared" si="21"/>
        <v>0</v>
      </c>
      <c r="O63" s="34"/>
      <c r="P63" s="33">
        <f t="shared" si="0"/>
        <v>0</v>
      </c>
      <c r="Q63" s="34">
        <v>1</v>
      </c>
      <c r="R63" s="33">
        <f t="shared" si="1"/>
        <v>37600</v>
      </c>
      <c r="S63" s="34">
        <f t="shared" si="2"/>
        <v>1</v>
      </c>
      <c r="T63" s="34">
        <v>0</v>
      </c>
      <c r="U63" s="33"/>
      <c r="V63" s="24"/>
      <c r="W63" s="54"/>
      <c r="X63" s="24"/>
      <c r="Y63" s="22" t="s">
        <v>424</v>
      </c>
      <c r="Z63" s="57"/>
      <c r="AA63" s="33"/>
      <c r="AB63" s="33"/>
      <c r="AC63" s="54"/>
      <c r="AD63" s="34"/>
      <c r="AE63" s="62"/>
      <c r="AF63" s="34"/>
      <c r="AG63" s="33"/>
      <c r="AH63" s="58"/>
      <c r="AI63" s="33"/>
      <c r="AJ63" s="24"/>
      <c r="AK63" s="54"/>
      <c r="AL63" s="34"/>
      <c r="AM63" s="59"/>
      <c r="AN63" s="60"/>
      <c r="AO63" s="60"/>
      <c r="AP63" s="60"/>
      <c r="AQ63" s="60"/>
      <c r="AR63" s="60"/>
      <c r="AS63" s="60"/>
      <c r="AT63" s="60"/>
      <c r="AU63" s="60"/>
      <c r="AV63" s="49"/>
      <c r="AW63" s="49"/>
      <c r="AX63" s="49"/>
    </row>
    <row r="64" spans="1:50" ht="15" customHeight="1">
      <c r="A64" s="55" t="s">
        <v>448</v>
      </c>
      <c r="B64" s="22" t="s">
        <v>383</v>
      </c>
      <c r="C64" s="24" t="s">
        <v>476</v>
      </c>
      <c r="D64" s="24" t="s">
        <v>453</v>
      </c>
      <c r="E64" s="116">
        <v>5294990</v>
      </c>
      <c r="F64" s="24">
        <v>1450451</v>
      </c>
      <c r="G64" s="24" t="s">
        <v>481</v>
      </c>
      <c r="H64" s="24" t="s">
        <v>37</v>
      </c>
      <c r="I64" s="21">
        <v>972000</v>
      </c>
      <c r="J64" s="33"/>
      <c r="K64" s="34"/>
      <c r="L64" s="33">
        <f t="shared" si="20"/>
        <v>0</v>
      </c>
      <c r="M64" s="34">
        <v>0.34</v>
      </c>
      <c r="N64" s="33">
        <f t="shared" si="21"/>
        <v>330480</v>
      </c>
      <c r="O64" s="34"/>
      <c r="P64" s="33">
        <f t="shared" si="0"/>
        <v>0</v>
      </c>
      <c r="Q64" s="34">
        <v>0.66</v>
      </c>
      <c r="R64" s="33">
        <f t="shared" si="1"/>
        <v>641520</v>
      </c>
      <c r="S64" s="34">
        <f t="shared" si="2"/>
        <v>1</v>
      </c>
      <c r="T64" s="34">
        <v>0.02</v>
      </c>
      <c r="U64" s="33"/>
      <c r="V64" s="24"/>
      <c r="W64" s="54"/>
      <c r="X64" s="24"/>
      <c r="Y64" s="22" t="s">
        <v>436</v>
      </c>
      <c r="Z64" s="57"/>
      <c r="AA64" s="33"/>
      <c r="AB64" s="33"/>
      <c r="AC64" s="54"/>
      <c r="AD64" s="34"/>
      <c r="AE64" s="62"/>
      <c r="AF64" s="34"/>
      <c r="AG64" s="33"/>
      <c r="AH64" s="58"/>
      <c r="AI64" s="33"/>
      <c r="AJ64" s="24"/>
      <c r="AK64" s="54"/>
      <c r="AL64" s="34"/>
      <c r="AM64" s="59"/>
      <c r="AN64" s="60"/>
      <c r="AO64" s="60"/>
      <c r="AP64" s="60"/>
      <c r="AQ64" s="60"/>
      <c r="AR64" s="60"/>
      <c r="AS64" s="60"/>
      <c r="AT64" s="60"/>
      <c r="AU64" s="60"/>
      <c r="AV64" s="49"/>
      <c r="AW64" s="49"/>
      <c r="AX64" s="49"/>
    </row>
    <row r="65" spans="1:50" ht="15" customHeight="1">
      <c r="A65" s="55" t="s">
        <v>448</v>
      </c>
      <c r="B65" s="22" t="s">
        <v>383</v>
      </c>
      <c r="C65" s="24" t="s">
        <v>476</v>
      </c>
      <c r="D65" s="24" t="s">
        <v>454</v>
      </c>
      <c r="E65" s="116">
        <v>5285628</v>
      </c>
      <c r="F65" s="24">
        <v>1474516</v>
      </c>
      <c r="G65" s="24" t="s">
        <v>481</v>
      </c>
      <c r="H65" s="24" t="s">
        <v>54</v>
      </c>
      <c r="I65" s="21">
        <v>255000</v>
      </c>
      <c r="J65" s="33"/>
      <c r="K65" s="34"/>
      <c r="L65" s="33">
        <f t="shared" si="20"/>
        <v>0</v>
      </c>
      <c r="M65" s="34">
        <v>0.34</v>
      </c>
      <c r="N65" s="33">
        <f t="shared" si="21"/>
        <v>86700</v>
      </c>
      <c r="O65" s="34"/>
      <c r="P65" s="33">
        <f t="shared" si="0"/>
        <v>0</v>
      </c>
      <c r="Q65" s="34">
        <v>0.66</v>
      </c>
      <c r="R65" s="33">
        <f t="shared" si="1"/>
        <v>168300</v>
      </c>
      <c r="S65" s="34">
        <f t="shared" si="2"/>
        <v>1</v>
      </c>
      <c r="T65" s="34">
        <v>0.02</v>
      </c>
      <c r="U65" s="33"/>
      <c r="V65" s="28">
        <v>50355</v>
      </c>
      <c r="W65" s="54"/>
      <c r="X65" s="24"/>
      <c r="Y65" s="22" t="s">
        <v>424</v>
      </c>
      <c r="Z65" s="57">
        <v>2037</v>
      </c>
      <c r="AA65" s="33"/>
      <c r="AB65" s="33"/>
      <c r="AC65" s="54"/>
      <c r="AD65" s="34"/>
      <c r="AE65" s="62"/>
      <c r="AF65" s="34"/>
      <c r="AG65" s="33"/>
      <c r="AH65" s="58"/>
      <c r="AI65" s="33"/>
      <c r="AJ65" s="24"/>
      <c r="AK65" s="54"/>
      <c r="AL65" s="34"/>
      <c r="AM65" s="59"/>
      <c r="AN65" s="60"/>
      <c r="AO65" s="60"/>
      <c r="AP65" s="60"/>
      <c r="AQ65" s="60"/>
      <c r="AR65" s="60"/>
      <c r="AS65" s="60"/>
      <c r="AT65" s="60"/>
      <c r="AU65" s="60"/>
      <c r="AV65" s="49"/>
      <c r="AW65" s="49"/>
      <c r="AX65" s="49"/>
    </row>
    <row r="66" spans="1:50" ht="15" customHeight="1">
      <c r="A66" s="55" t="s">
        <v>448</v>
      </c>
      <c r="B66" s="22" t="s">
        <v>383</v>
      </c>
      <c r="C66" s="24" t="s">
        <v>476</v>
      </c>
      <c r="D66" s="24" t="s">
        <v>455</v>
      </c>
      <c r="E66" s="116">
        <v>5305657</v>
      </c>
      <c r="F66" s="24">
        <v>1456230</v>
      </c>
      <c r="G66" s="24" t="s">
        <v>481</v>
      </c>
      <c r="H66" s="24" t="s">
        <v>54</v>
      </c>
      <c r="I66" s="21">
        <v>583000</v>
      </c>
      <c r="J66" s="33"/>
      <c r="K66" s="34">
        <v>1</v>
      </c>
      <c r="L66" s="33">
        <f t="shared" si="20"/>
        <v>583000</v>
      </c>
      <c r="M66" s="34"/>
      <c r="N66" s="33">
        <f t="shared" si="21"/>
        <v>0</v>
      </c>
      <c r="O66" s="34"/>
      <c r="P66" s="33">
        <f t="shared" si="0"/>
        <v>0</v>
      </c>
      <c r="Q66" s="34"/>
      <c r="R66" s="33">
        <f t="shared" si="1"/>
        <v>0</v>
      </c>
      <c r="S66" s="34">
        <f t="shared" si="2"/>
        <v>1</v>
      </c>
      <c r="T66" s="34">
        <v>0.02</v>
      </c>
      <c r="U66" s="33"/>
      <c r="V66" s="28">
        <v>39131</v>
      </c>
      <c r="W66" s="54"/>
      <c r="X66" s="28">
        <v>39131</v>
      </c>
      <c r="Y66" s="22" t="s">
        <v>436</v>
      </c>
      <c r="Z66" s="57">
        <v>2007</v>
      </c>
      <c r="AA66" s="33"/>
      <c r="AB66" s="33"/>
      <c r="AC66" s="54"/>
      <c r="AD66" s="34"/>
      <c r="AE66" s="62"/>
      <c r="AF66" s="34"/>
      <c r="AG66" s="33"/>
      <c r="AH66" s="58"/>
      <c r="AI66" s="33"/>
      <c r="AJ66" s="24"/>
      <c r="AK66" s="54"/>
      <c r="AL66" s="34"/>
      <c r="AM66" s="59"/>
      <c r="AN66" s="60"/>
      <c r="AO66" s="60"/>
      <c r="AP66" s="60"/>
      <c r="AQ66" s="60"/>
      <c r="AR66" s="60"/>
      <c r="AS66" s="60"/>
      <c r="AT66" s="60"/>
      <c r="AU66" s="60"/>
      <c r="AV66" s="49"/>
      <c r="AW66" s="49"/>
      <c r="AX66" s="49"/>
    </row>
    <row r="67" spans="1:50" ht="15" customHeight="1">
      <c r="A67" s="55" t="s">
        <v>172</v>
      </c>
      <c r="B67" s="22" t="s">
        <v>383</v>
      </c>
      <c r="C67" s="24" t="s">
        <v>476</v>
      </c>
      <c r="D67" s="34" t="s">
        <v>171</v>
      </c>
      <c r="E67" s="177">
        <v>5821681.7199999997</v>
      </c>
      <c r="F67" s="33">
        <v>1796519.94</v>
      </c>
      <c r="G67" s="33"/>
      <c r="H67" s="34" t="s">
        <v>37</v>
      </c>
      <c r="I67" s="20">
        <v>16395046</v>
      </c>
      <c r="J67" s="33">
        <v>16294917</v>
      </c>
      <c r="K67" s="34">
        <v>1</v>
      </c>
      <c r="L67" s="33">
        <f>I67*K67</f>
        <v>16395046</v>
      </c>
      <c r="M67" s="34">
        <v>0</v>
      </c>
      <c r="N67" s="33">
        <f>I67*M67</f>
        <v>0</v>
      </c>
      <c r="O67" s="34">
        <v>0</v>
      </c>
      <c r="P67" s="33">
        <f t="shared" si="0"/>
        <v>0</v>
      </c>
      <c r="Q67" s="34">
        <v>0</v>
      </c>
      <c r="R67" s="33">
        <f t="shared" si="1"/>
        <v>0</v>
      </c>
      <c r="S67" s="34">
        <f t="shared" si="2"/>
        <v>1</v>
      </c>
      <c r="T67" s="34">
        <v>0.1265</v>
      </c>
      <c r="U67" s="33">
        <v>16425000</v>
      </c>
      <c r="V67" s="35">
        <v>46626</v>
      </c>
      <c r="W67" s="78" t="s">
        <v>39</v>
      </c>
      <c r="X67" s="35">
        <v>46626</v>
      </c>
      <c r="Y67" s="72"/>
      <c r="Z67" s="57">
        <v>2027</v>
      </c>
      <c r="AA67" s="70">
        <v>3058.34</v>
      </c>
      <c r="AB67" s="33">
        <v>4103</v>
      </c>
      <c r="AC67" s="54"/>
      <c r="AD67" s="34">
        <v>0</v>
      </c>
      <c r="AE67" s="62">
        <f t="shared" ref="AE67:AE103" si="22">AA67*AD67</f>
        <v>0</v>
      </c>
      <c r="AF67" s="34">
        <v>0</v>
      </c>
      <c r="AG67" s="33">
        <f t="shared" ref="AG67:AG97" si="23">AA67*AF67</f>
        <v>0</v>
      </c>
      <c r="AH67" s="58">
        <v>1</v>
      </c>
      <c r="AI67" s="33">
        <f>AA67*AH67</f>
        <v>3058.34</v>
      </c>
      <c r="AJ67" s="34">
        <v>8.0000000000000002E-3</v>
      </c>
      <c r="AK67" s="54">
        <f>AJ67*AA67</f>
        <v>24.466720000000002</v>
      </c>
      <c r="AL67" s="34">
        <v>0</v>
      </c>
      <c r="AM67" s="59">
        <f t="shared" ref="AM67:AM103" si="24">AA67*AL67</f>
        <v>0</v>
      </c>
      <c r="AN67" s="67"/>
      <c r="AO67" s="67"/>
      <c r="AP67" s="60"/>
      <c r="AQ67" s="60"/>
      <c r="AR67" s="60"/>
      <c r="AS67" s="60"/>
      <c r="AT67" s="60"/>
      <c r="AU67" s="60"/>
      <c r="AV67" s="49"/>
      <c r="AW67" s="49"/>
      <c r="AX67" s="49"/>
    </row>
    <row r="68" spans="1:50" ht="15" customHeight="1">
      <c r="A68" s="55" t="s">
        <v>456</v>
      </c>
      <c r="B68" s="22" t="s">
        <v>383</v>
      </c>
      <c r="C68" s="24" t="s">
        <v>476</v>
      </c>
      <c r="D68" s="24" t="s">
        <v>457</v>
      </c>
      <c r="E68" s="176">
        <v>5610520</v>
      </c>
      <c r="F68" s="27">
        <v>1938038</v>
      </c>
      <c r="G68" s="65" t="s">
        <v>468</v>
      </c>
      <c r="H68" s="45" t="s">
        <v>467</v>
      </c>
      <c r="I68" s="21">
        <v>14562856</v>
      </c>
      <c r="J68" s="33"/>
      <c r="K68" s="34">
        <v>0</v>
      </c>
      <c r="L68" s="33">
        <f>$I68*K68</f>
        <v>0</v>
      </c>
      <c r="M68" s="34">
        <v>0</v>
      </c>
      <c r="N68" s="33">
        <f>$I68*M68</f>
        <v>0</v>
      </c>
      <c r="O68" s="34">
        <v>0</v>
      </c>
      <c r="P68" s="33">
        <f t="shared" ref="P68:P130" si="25">I68*O68</f>
        <v>0</v>
      </c>
      <c r="Q68" s="34">
        <v>1</v>
      </c>
      <c r="R68" s="33">
        <f t="shared" ref="R68:R130" si="26">I68*Q68</f>
        <v>14562856</v>
      </c>
      <c r="S68" s="34">
        <f t="shared" ref="S68:S130" si="27">SUM(K68,M68,O68,Q68)</f>
        <v>1</v>
      </c>
      <c r="T68" s="34">
        <v>0.5</v>
      </c>
      <c r="U68" s="71">
        <v>88300800</v>
      </c>
      <c r="V68" s="28">
        <v>50191</v>
      </c>
      <c r="W68" s="54" t="s">
        <v>39</v>
      </c>
      <c r="X68" s="28">
        <v>54574</v>
      </c>
      <c r="Y68" s="22" t="s">
        <v>424</v>
      </c>
      <c r="Z68" s="57">
        <v>2037</v>
      </c>
      <c r="AA68" s="27">
        <v>90</v>
      </c>
      <c r="AB68" s="33"/>
      <c r="AC68" s="54"/>
      <c r="AD68" s="34">
        <v>0</v>
      </c>
      <c r="AE68" s="62">
        <f t="shared" si="22"/>
        <v>0</v>
      </c>
      <c r="AF68" s="34">
        <v>1</v>
      </c>
      <c r="AG68" s="33">
        <f t="shared" si="23"/>
        <v>90</v>
      </c>
      <c r="AH68" s="58">
        <v>0</v>
      </c>
      <c r="AI68" s="33">
        <f>AA68*AH337</f>
        <v>0</v>
      </c>
      <c r="AJ68" s="24"/>
      <c r="AK68" s="54"/>
      <c r="AL68" s="34">
        <v>0</v>
      </c>
      <c r="AM68" s="59">
        <f t="shared" si="24"/>
        <v>0</v>
      </c>
      <c r="AN68" s="60"/>
      <c r="AO68" s="60"/>
      <c r="AP68" s="60"/>
      <c r="AQ68" s="60"/>
      <c r="AR68" s="60"/>
      <c r="AS68" s="60"/>
      <c r="AT68" s="60"/>
      <c r="AU68" s="60"/>
      <c r="AV68" s="49"/>
      <c r="AW68" s="49"/>
      <c r="AX68" s="49"/>
    </row>
    <row r="69" spans="1:50" ht="15" customHeight="1">
      <c r="A69" s="55" t="s">
        <v>180</v>
      </c>
      <c r="B69" s="22" t="s">
        <v>383</v>
      </c>
      <c r="C69" s="24" t="s">
        <v>476</v>
      </c>
      <c r="D69" s="35" t="s">
        <v>173</v>
      </c>
      <c r="E69" s="177">
        <v>5863094</v>
      </c>
      <c r="F69" s="33">
        <v>1835818</v>
      </c>
      <c r="G69" s="33"/>
      <c r="H69" s="24" t="s">
        <v>54</v>
      </c>
      <c r="I69" s="21">
        <v>765717</v>
      </c>
      <c r="J69" s="33">
        <v>745315</v>
      </c>
      <c r="K69" s="34">
        <v>1</v>
      </c>
      <c r="L69" s="33">
        <f t="shared" ref="L69:L85" si="28">I69*K69</f>
        <v>765717</v>
      </c>
      <c r="M69" s="34">
        <v>0</v>
      </c>
      <c r="N69" s="33">
        <f t="shared" ref="N69:N85" si="29">I69*M69</f>
        <v>0</v>
      </c>
      <c r="O69" s="34">
        <v>0</v>
      </c>
      <c r="P69" s="33">
        <f t="shared" si="25"/>
        <v>0</v>
      </c>
      <c r="Q69" s="34">
        <v>0</v>
      </c>
      <c r="R69" s="33">
        <f t="shared" si="26"/>
        <v>0</v>
      </c>
      <c r="S69" s="34">
        <f t="shared" si="27"/>
        <v>1</v>
      </c>
      <c r="T69" s="34"/>
      <c r="U69" s="33">
        <v>2044000</v>
      </c>
      <c r="V69" s="35">
        <v>43983</v>
      </c>
      <c r="W69" s="54"/>
      <c r="X69" s="35">
        <v>43983</v>
      </c>
      <c r="Y69" s="72"/>
      <c r="Z69" s="57">
        <v>2020</v>
      </c>
      <c r="AA69" s="33"/>
      <c r="AB69" s="33"/>
      <c r="AC69" s="54"/>
      <c r="AD69" s="34">
        <v>0</v>
      </c>
      <c r="AE69" s="62">
        <f t="shared" si="22"/>
        <v>0</v>
      </c>
      <c r="AF69" s="34">
        <v>0</v>
      </c>
      <c r="AG69" s="33">
        <f t="shared" si="23"/>
        <v>0</v>
      </c>
      <c r="AH69" s="58">
        <v>0</v>
      </c>
      <c r="AI69" s="33">
        <f t="shared" ref="AI69:AI85" si="30">AA69*AH69</f>
        <v>0</v>
      </c>
      <c r="AJ69" s="34">
        <v>1</v>
      </c>
      <c r="AK69" s="54">
        <f t="shared" ref="AK69:AK85" si="31">AJ69*AA69</f>
        <v>0</v>
      </c>
      <c r="AL69" s="34">
        <v>1</v>
      </c>
      <c r="AM69" s="59">
        <f t="shared" si="24"/>
        <v>0</v>
      </c>
      <c r="AN69" s="67" t="s">
        <v>400</v>
      </c>
      <c r="AO69" s="60"/>
      <c r="AP69" s="60"/>
      <c r="AQ69" s="60"/>
      <c r="AR69" s="60"/>
      <c r="AS69" s="60"/>
      <c r="AT69" s="60"/>
      <c r="AU69" s="60"/>
      <c r="AV69" s="49"/>
      <c r="AW69" s="49"/>
      <c r="AX69" s="49"/>
    </row>
    <row r="70" spans="1:50" ht="15" customHeight="1">
      <c r="A70" s="55" t="s">
        <v>180</v>
      </c>
      <c r="B70" s="22" t="s">
        <v>383</v>
      </c>
      <c r="C70" s="24" t="s">
        <v>476</v>
      </c>
      <c r="D70" s="34" t="s">
        <v>174</v>
      </c>
      <c r="E70" s="176">
        <v>5855573</v>
      </c>
      <c r="F70" s="27">
        <v>1850663</v>
      </c>
      <c r="G70" s="33" t="s">
        <v>398</v>
      </c>
      <c r="H70" s="34" t="s">
        <v>37</v>
      </c>
      <c r="I70" s="21">
        <v>589211</v>
      </c>
      <c r="J70" s="33">
        <v>535738</v>
      </c>
      <c r="K70" s="34">
        <v>1</v>
      </c>
      <c r="L70" s="33">
        <f t="shared" si="28"/>
        <v>589211</v>
      </c>
      <c r="M70" s="34">
        <v>0</v>
      </c>
      <c r="N70" s="33">
        <f t="shared" si="29"/>
        <v>0</v>
      </c>
      <c r="O70" s="34">
        <v>0</v>
      </c>
      <c r="P70" s="33">
        <f t="shared" si="25"/>
        <v>0</v>
      </c>
      <c r="Q70" s="34">
        <v>0</v>
      </c>
      <c r="R70" s="33">
        <f t="shared" si="26"/>
        <v>0</v>
      </c>
      <c r="S70" s="34">
        <f t="shared" si="27"/>
        <v>1</v>
      </c>
      <c r="T70" s="34"/>
      <c r="U70" s="33">
        <v>1460000</v>
      </c>
      <c r="V70" s="35">
        <v>44713</v>
      </c>
      <c r="W70" s="78"/>
      <c r="X70" s="35">
        <v>44713</v>
      </c>
      <c r="Y70" s="72"/>
      <c r="Z70" s="57">
        <v>2022</v>
      </c>
      <c r="AA70" s="33"/>
      <c r="AB70" s="33"/>
      <c r="AC70" s="54"/>
      <c r="AD70" s="34">
        <v>0</v>
      </c>
      <c r="AE70" s="62">
        <f t="shared" si="22"/>
        <v>0</v>
      </c>
      <c r="AF70" s="34">
        <v>0</v>
      </c>
      <c r="AG70" s="33">
        <f t="shared" si="23"/>
        <v>0</v>
      </c>
      <c r="AH70" s="58">
        <v>0</v>
      </c>
      <c r="AI70" s="33">
        <f t="shared" si="30"/>
        <v>0</v>
      </c>
      <c r="AJ70" s="34">
        <v>1</v>
      </c>
      <c r="AK70" s="54">
        <f t="shared" si="31"/>
        <v>0</v>
      </c>
      <c r="AL70" s="34">
        <v>1</v>
      </c>
      <c r="AM70" s="59">
        <f t="shared" si="24"/>
        <v>0</v>
      </c>
      <c r="AN70" s="67" t="s">
        <v>400</v>
      </c>
      <c r="AO70" s="67"/>
      <c r="AP70" s="67"/>
      <c r="AQ70" s="67"/>
      <c r="AR70" s="67"/>
      <c r="AS70" s="67"/>
      <c r="AT70" s="60"/>
      <c r="AU70" s="60"/>
      <c r="AV70" s="49"/>
      <c r="AW70" s="49"/>
      <c r="AX70" s="49"/>
    </row>
    <row r="71" spans="1:50" ht="15" customHeight="1">
      <c r="A71" s="55" t="s">
        <v>180</v>
      </c>
      <c r="B71" s="22" t="s">
        <v>383</v>
      </c>
      <c r="C71" s="24" t="s">
        <v>476</v>
      </c>
      <c r="D71" s="34" t="s">
        <v>175</v>
      </c>
      <c r="E71" s="176">
        <v>5869338</v>
      </c>
      <c r="F71" s="27">
        <v>1856968</v>
      </c>
      <c r="G71" s="33" t="s">
        <v>398</v>
      </c>
      <c r="H71" s="34" t="s">
        <v>54</v>
      </c>
      <c r="I71" s="21">
        <v>28154</v>
      </c>
      <c r="J71" s="33">
        <v>33001</v>
      </c>
      <c r="K71" s="34">
        <v>0</v>
      </c>
      <c r="L71" s="33">
        <f t="shared" si="28"/>
        <v>0</v>
      </c>
      <c r="M71" s="34">
        <v>1</v>
      </c>
      <c r="N71" s="33">
        <f t="shared" si="29"/>
        <v>28154</v>
      </c>
      <c r="O71" s="34">
        <v>0</v>
      </c>
      <c r="P71" s="33">
        <f t="shared" si="25"/>
        <v>0</v>
      </c>
      <c r="Q71" s="34">
        <v>0</v>
      </c>
      <c r="R71" s="33">
        <f t="shared" si="26"/>
        <v>0</v>
      </c>
      <c r="S71" s="34">
        <f t="shared" si="27"/>
        <v>1</v>
      </c>
      <c r="T71" s="34"/>
      <c r="U71" s="33">
        <v>143080</v>
      </c>
      <c r="V71" s="24"/>
      <c r="W71" s="54"/>
      <c r="X71" s="35">
        <v>43769</v>
      </c>
      <c r="Y71" s="72"/>
      <c r="Z71" s="57">
        <v>2019</v>
      </c>
      <c r="AA71" s="33"/>
      <c r="AB71" s="33"/>
      <c r="AC71" s="54"/>
      <c r="AD71" s="34">
        <v>0</v>
      </c>
      <c r="AE71" s="62">
        <f t="shared" si="22"/>
        <v>0</v>
      </c>
      <c r="AF71" s="34">
        <v>0</v>
      </c>
      <c r="AG71" s="33">
        <f t="shared" si="23"/>
        <v>0</v>
      </c>
      <c r="AH71" s="58">
        <v>0</v>
      </c>
      <c r="AI71" s="33">
        <f t="shared" si="30"/>
        <v>0</v>
      </c>
      <c r="AJ71" s="34">
        <v>1</v>
      </c>
      <c r="AK71" s="54">
        <f t="shared" si="31"/>
        <v>0</v>
      </c>
      <c r="AL71" s="34">
        <v>1</v>
      </c>
      <c r="AM71" s="59">
        <f t="shared" si="24"/>
        <v>0</v>
      </c>
      <c r="AN71" s="67" t="s">
        <v>400</v>
      </c>
      <c r="AO71" s="67"/>
      <c r="AP71" s="67"/>
      <c r="AQ71" s="67"/>
      <c r="AR71" s="67"/>
      <c r="AS71" s="67"/>
      <c r="AT71" s="60"/>
      <c r="AU71" s="60"/>
      <c r="AV71" s="49"/>
      <c r="AW71" s="49"/>
      <c r="AX71" s="49"/>
    </row>
    <row r="72" spans="1:50" ht="15" customHeight="1">
      <c r="A72" s="55" t="s">
        <v>180</v>
      </c>
      <c r="B72" s="22" t="s">
        <v>383</v>
      </c>
      <c r="C72" s="24" t="s">
        <v>476</v>
      </c>
      <c r="D72" s="34" t="s">
        <v>176</v>
      </c>
      <c r="E72" s="177">
        <v>5870233</v>
      </c>
      <c r="F72" s="33">
        <v>1820875</v>
      </c>
      <c r="G72" s="33"/>
      <c r="H72" s="34" t="s">
        <v>54</v>
      </c>
      <c r="I72" s="21">
        <v>131457</v>
      </c>
      <c r="J72" s="33">
        <v>113009</v>
      </c>
      <c r="K72" s="34">
        <v>1</v>
      </c>
      <c r="L72" s="33">
        <f t="shared" si="28"/>
        <v>131457</v>
      </c>
      <c r="M72" s="34">
        <v>0</v>
      </c>
      <c r="N72" s="33">
        <f t="shared" si="29"/>
        <v>0</v>
      </c>
      <c r="O72" s="34">
        <v>0</v>
      </c>
      <c r="P72" s="33">
        <f t="shared" si="25"/>
        <v>0</v>
      </c>
      <c r="Q72" s="34">
        <v>0</v>
      </c>
      <c r="R72" s="33">
        <f t="shared" si="26"/>
        <v>0</v>
      </c>
      <c r="S72" s="34">
        <f t="shared" si="27"/>
        <v>1</v>
      </c>
      <c r="T72" s="34"/>
      <c r="U72" s="33">
        <v>2208250</v>
      </c>
      <c r="V72" s="35">
        <v>42308</v>
      </c>
      <c r="W72" s="54"/>
      <c r="X72" s="35">
        <v>42308</v>
      </c>
      <c r="Y72" s="72" t="s">
        <v>399</v>
      </c>
      <c r="Z72" s="57">
        <v>2015</v>
      </c>
      <c r="AA72" s="33"/>
      <c r="AB72" s="33"/>
      <c r="AC72" s="54"/>
      <c r="AD72" s="34">
        <v>0</v>
      </c>
      <c r="AE72" s="62">
        <f t="shared" si="22"/>
        <v>0</v>
      </c>
      <c r="AF72" s="34">
        <v>0</v>
      </c>
      <c r="AG72" s="33">
        <f t="shared" si="23"/>
        <v>0</v>
      </c>
      <c r="AH72" s="58">
        <v>0</v>
      </c>
      <c r="AI72" s="33">
        <f t="shared" si="30"/>
        <v>0</v>
      </c>
      <c r="AJ72" s="34">
        <v>1</v>
      </c>
      <c r="AK72" s="54">
        <f t="shared" si="31"/>
        <v>0</v>
      </c>
      <c r="AL72" s="34">
        <v>1</v>
      </c>
      <c r="AM72" s="59">
        <f t="shared" si="24"/>
        <v>0</v>
      </c>
      <c r="AN72" s="67" t="s">
        <v>400</v>
      </c>
      <c r="AO72" s="67"/>
      <c r="AP72" s="67"/>
      <c r="AQ72" s="67"/>
      <c r="AR72" s="67"/>
      <c r="AS72" s="67"/>
      <c r="AT72" s="60"/>
      <c r="AU72" s="60"/>
      <c r="AV72" s="49"/>
      <c r="AW72" s="49"/>
      <c r="AX72" s="49"/>
    </row>
    <row r="73" spans="1:50" ht="15" customHeight="1">
      <c r="A73" s="55" t="s">
        <v>180</v>
      </c>
      <c r="B73" s="22" t="s">
        <v>383</v>
      </c>
      <c r="C73" s="24" t="s">
        <v>476</v>
      </c>
      <c r="D73" s="34" t="s">
        <v>177</v>
      </c>
      <c r="E73" s="176">
        <v>5868821</v>
      </c>
      <c r="F73" s="27">
        <v>1824733</v>
      </c>
      <c r="G73" s="33" t="s">
        <v>398</v>
      </c>
      <c r="H73" s="34" t="s">
        <v>54</v>
      </c>
      <c r="I73" s="21">
        <v>47773</v>
      </c>
      <c r="J73" s="33">
        <v>42055</v>
      </c>
      <c r="K73" s="34">
        <v>1</v>
      </c>
      <c r="L73" s="33">
        <f t="shared" si="28"/>
        <v>47773</v>
      </c>
      <c r="M73" s="34">
        <v>0</v>
      </c>
      <c r="N73" s="33">
        <f t="shared" si="29"/>
        <v>0</v>
      </c>
      <c r="O73" s="34">
        <v>0</v>
      </c>
      <c r="P73" s="33">
        <f t="shared" si="25"/>
        <v>0</v>
      </c>
      <c r="Q73" s="34">
        <v>0</v>
      </c>
      <c r="R73" s="33">
        <f t="shared" si="26"/>
        <v>0</v>
      </c>
      <c r="S73" s="34">
        <f t="shared" si="27"/>
        <v>1</v>
      </c>
      <c r="T73" s="34"/>
      <c r="U73" s="33">
        <v>304410</v>
      </c>
      <c r="V73" s="24"/>
      <c r="W73" s="54"/>
      <c r="X73" s="35">
        <v>44306</v>
      </c>
      <c r="Y73" s="72"/>
      <c r="Z73" s="57">
        <v>2021</v>
      </c>
      <c r="AA73" s="33"/>
      <c r="AB73" s="33"/>
      <c r="AC73" s="54"/>
      <c r="AD73" s="34">
        <v>0</v>
      </c>
      <c r="AE73" s="62">
        <f t="shared" si="22"/>
        <v>0</v>
      </c>
      <c r="AF73" s="34">
        <v>0</v>
      </c>
      <c r="AG73" s="33">
        <f t="shared" si="23"/>
        <v>0</v>
      </c>
      <c r="AH73" s="58">
        <v>0</v>
      </c>
      <c r="AI73" s="33">
        <f t="shared" si="30"/>
        <v>0</v>
      </c>
      <c r="AJ73" s="34">
        <v>1</v>
      </c>
      <c r="AK73" s="54">
        <f t="shared" si="31"/>
        <v>0</v>
      </c>
      <c r="AL73" s="34">
        <v>1</v>
      </c>
      <c r="AM73" s="59">
        <f t="shared" si="24"/>
        <v>0</v>
      </c>
      <c r="AN73" s="67" t="s">
        <v>400</v>
      </c>
      <c r="AO73" s="67"/>
      <c r="AP73" s="67"/>
      <c r="AQ73" s="67"/>
      <c r="AR73" s="67"/>
      <c r="AS73" s="67"/>
      <c r="AT73" s="60"/>
      <c r="AU73" s="60"/>
      <c r="AV73" s="49"/>
      <c r="AW73" s="49"/>
      <c r="AX73" s="49"/>
    </row>
    <row r="74" spans="1:50" ht="15" customHeight="1">
      <c r="A74" s="55" t="s">
        <v>180</v>
      </c>
      <c r="B74" s="22" t="s">
        <v>383</v>
      </c>
      <c r="C74" s="24" t="s">
        <v>476</v>
      </c>
      <c r="D74" s="34" t="s">
        <v>178</v>
      </c>
      <c r="E74" s="177">
        <v>5874804</v>
      </c>
      <c r="F74" s="33">
        <v>1828405</v>
      </c>
      <c r="G74" s="33"/>
      <c r="H74" s="34" t="s">
        <v>54</v>
      </c>
      <c r="I74" s="21">
        <v>34535</v>
      </c>
      <c r="J74" s="33">
        <v>37286</v>
      </c>
      <c r="K74" s="34">
        <v>1</v>
      </c>
      <c r="L74" s="33">
        <f t="shared" si="28"/>
        <v>34535</v>
      </c>
      <c r="M74" s="34">
        <v>0</v>
      </c>
      <c r="N74" s="33">
        <f t="shared" si="29"/>
        <v>0</v>
      </c>
      <c r="O74" s="34">
        <v>0</v>
      </c>
      <c r="P74" s="33">
        <f t="shared" si="25"/>
        <v>0</v>
      </c>
      <c r="Q74" s="34">
        <v>0</v>
      </c>
      <c r="R74" s="33">
        <f t="shared" si="26"/>
        <v>0</v>
      </c>
      <c r="S74" s="34">
        <f t="shared" si="27"/>
        <v>1</v>
      </c>
      <c r="T74" s="34"/>
      <c r="U74" s="33">
        <v>91250</v>
      </c>
      <c r="V74" s="35">
        <v>43221</v>
      </c>
      <c r="W74" s="54"/>
      <c r="X74" s="35">
        <v>43221</v>
      </c>
      <c r="Y74" s="72"/>
      <c r="Z74" s="57">
        <v>2018</v>
      </c>
      <c r="AA74" s="33"/>
      <c r="AB74" s="33"/>
      <c r="AC74" s="54"/>
      <c r="AD74" s="34">
        <v>0</v>
      </c>
      <c r="AE74" s="62">
        <f t="shared" si="22"/>
        <v>0</v>
      </c>
      <c r="AF74" s="34">
        <v>0</v>
      </c>
      <c r="AG74" s="33">
        <f t="shared" si="23"/>
        <v>0</v>
      </c>
      <c r="AH74" s="58">
        <v>0</v>
      </c>
      <c r="AI74" s="33">
        <f t="shared" si="30"/>
        <v>0</v>
      </c>
      <c r="AJ74" s="34">
        <v>1</v>
      </c>
      <c r="AK74" s="54">
        <f t="shared" si="31"/>
        <v>0</v>
      </c>
      <c r="AL74" s="34">
        <v>1</v>
      </c>
      <c r="AM74" s="59">
        <f t="shared" si="24"/>
        <v>0</v>
      </c>
      <c r="AN74" s="67" t="s">
        <v>400</v>
      </c>
      <c r="AO74" s="67"/>
      <c r="AP74" s="61"/>
      <c r="AQ74" s="61"/>
      <c r="AR74" s="61"/>
      <c r="AS74" s="61"/>
      <c r="AT74" s="60"/>
      <c r="AU74" s="60"/>
      <c r="AV74" s="49"/>
      <c r="AW74" s="49"/>
      <c r="AX74" s="49"/>
    </row>
    <row r="75" spans="1:50" ht="15" customHeight="1">
      <c r="A75" s="55" t="s">
        <v>180</v>
      </c>
      <c r="B75" s="22" t="s">
        <v>383</v>
      </c>
      <c r="C75" s="24" t="s">
        <v>476</v>
      </c>
      <c r="D75" s="34" t="s">
        <v>179</v>
      </c>
      <c r="E75" s="177">
        <v>5876746</v>
      </c>
      <c r="F75" s="33">
        <v>1812574</v>
      </c>
      <c r="G75" s="33"/>
      <c r="H75" s="34" t="s">
        <v>37</v>
      </c>
      <c r="I75" s="21">
        <v>8718</v>
      </c>
      <c r="J75" s="33">
        <v>8640</v>
      </c>
      <c r="K75" s="34">
        <v>1</v>
      </c>
      <c r="L75" s="33">
        <f t="shared" si="28"/>
        <v>8718</v>
      </c>
      <c r="M75" s="34">
        <v>0</v>
      </c>
      <c r="N75" s="33">
        <f t="shared" si="29"/>
        <v>0</v>
      </c>
      <c r="O75" s="34">
        <v>0</v>
      </c>
      <c r="P75" s="33">
        <f t="shared" si="25"/>
        <v>0</v>
      </c>
      <c r="Q75" s="34">
        <v>0</v>
      </c>
      <c r="R75" s="33">
        <f t="shared" si="26"/>
        <v>0</v>
      </c>
      <c r="S75" s="34">
        <f t="shared" si="27"/>
        <v>1</v>
      </c>
      <c r="T75" s="34"/>
      <c r="U75" s="33">
        <v>15330</v>
      </c>
      <c r="V75" s="24"/>
      <c r="W75" s="54"/>
      <c r="X75" s="35">
        <v>45240</v>
      </c>
      <c r="Y75" s="72"/>
      <c r="Z75" s="57">
        <v>2023</v>
      </c>
      <c r="AA75" s="33"/>
      <c r="AB75" s="33"/>
      <c r="AC75" s="54"/>
      <c r="AD75" s="34">
        <v>0</v>
      </c>
      <c r="AE75" s="62">
        <f t="shared" si="22"/>
        <v>0</v>
      </c>
      <c r="AF75" s="34">
        <v>0</v>
      </c>
      <c r="AG75" s="33">
        <f t="shared" si="23"/>
        <v>0</v>
      </c>
      <c r="AH75" s="58">
        <v>0</v>
      </c>
      <c r="AI75" s="33">
        <f t="shared" si="30"/>
        <v>0</v>
      </c>
      <c r="AJ75" s="34">
        <v>1</v>
      </c>
      <c r="AK75" s="54">
        <f t="shared" si="31"/>
        <v>0</v>
      </c>
      <c r="AL75" s="34">
        <v>1</v>
      </c>
      <c r="AM75" s="59">
        <f t="shared" si="24"/>
        <v>0</v>
      </c>
      <c r="AN75" s="67" t="s">
        <v>400</v>
      </c>
      <c r="AO75" s="67"/>
      <c r="AP75" s="67"/>
      <c r="AQ75" s="67"/>
      <c r="AR75" s="67"/>
      <c r="AS75" s="67"/>
      <c r="AT75" s="60"/>
      <c r="AU75" s="60"/>
      <c r="AV75" s="49"/>
      <c r="AW75" s="49"/>
      <c r="AX75" s="49"/>
    </row>
    <row r="76" spans="1:50" ht="15" customHeight="1">
      <c r="A76" s="55" t="s">
        <v>500</v>
      </c>
      <c r="B76" s="22" t="s">
        <v>383</v>
      </c>
      <c r="C76" s="24" t="s">
        <v>476</v>
      </c>
      <c r="D76" s="34" t="s">
        <v>154</v>
      </c>
      <c r="E76" s="179">
        <v>5501036.3480000002</v>
      </c>
      <c r="F76" s="73">
        <v>1791263.3589999999</v>
      </c>
      <c r="G76" s="65" t="s">
        <v>401</v>
      </c>
      <c r="H76" s="34" t="s">
        <v>160</v>
      </c>
      <c r="I76" s="33">
        <v>2563643</v>
      </c>
      <c r="J76" s="33">
        <v>2563643</v>
      </c>
      <c r="K76" s="34">
        <v>0</v>
      </c>
      <c r="L76" s="33">
        <f t="shared" si="28"/>
        <v>0</v>
      </c>
      <c r="M76" s="34">
        <v>1</v>
      </c>
      <c r="N76" s="33">
        <f t="shared" si="29"/>
        <v>2563643</v>
      </c>
      <c r="O76" s="34">
        <v>0</v>
      </c>
      <c r="P76" s="33">
        <f t="shared" si="25"/>
        <v>0</v>
      </c>
      <c r="Q76" s="34">
        <v>0</v>
      </c>
      <c r="R76" s="33">
        <f t="shared" si="26"/>
        <v>0</v>
      </c>
      <c r="S76" s="34">
        <f t="shared" si="27"/>
        <v>1</v>
      </c>
      <c r="T76" s="34"/>
      <c r="U76" s="33">
        <v>5840000</v>
      </c>
      <c r="V76" s="24" t="s">
        <v>162</v>
      </c>
      <c r="W76" s="54"/>
      <c r="X76" s="24" t="s">
        <v>166</v>
      </c>
      <c r="Y76" s="22"/>
      <c r="Z76" s="57" t="s">
        <v>405</v>
      </c>
      <c r="AA76" s="27">
        <v>853.05</v>
      </c>
      <c r="AB76" s="33">
        <v>196</v>
      </c>
      <c r="AC76" s="54"/>
      <c r="AD76" s="34"/>
      <c r="AE76" s="62">
        <f t="shared" si="22"/>
        <v>0</v>
      </c>
      <c r="AF76" s="34">
        <v>1</v>
      </c>
      <c r="AG76" s="33">
        <f t="shared" si="23"/>
        <v>853.05</v>
      </c>
      <c r="AH76" s="58"/>
      <c r="AI76" s="33">
        <f t="shared" si="30"/>
        <v>0</v>
      </c>
      <c r="AJ76" s="24"/>
      <c r="AK76" s="54">
        <f t="shared" si="31"/>
        <v>0</v>
      </c>
      <c r="AL76" s="34"/>
      <c r="AM76" s="59">
        <f t="shared" si="24"/>
        <v>0</v>
      </c>
      <c r="AN76" s="67"/>
      <c r="AO76" s="67"/>
      <c r="AP76" s="60"/>
      <c r="AQ76" s="60"/>
      <c r="AR76" s="60"/>
      <c r="AS76" s="60"/>
      <c r="AT76" s="60"/>
      <c r="AU76" s="60"/>
      <c r="AV76" s="49"/>
      <c r="AW76" s="49"/>
      <c r="AX76" s="49"/>
    </row>
    <row r="77" spans="1:50" ht="15" customHeight="1">
      <c r="A77" s="55" t="s">
        <v>500</v>
      </c>
      <c r="B77" s="22" t="s">
        <v>383</v>
      </c>
      <c r="C77" s="24" t="s">
        <v>476</v>
      </c>
      <c r="D77" s="34" t="s">
        <v>155</v>
      </c>
      <c r="E77" s="179">
        <v>5515895.5949999997</v>
      </c>
      <c r="F77" s="73">
        <v>1791943.825</v>
      </c>
      <c r="G77" s="65" t="s">
        <v>401</v>
      </c>
      <c r="H77" s="34" t="s">
        <v>161</v>
      </c>
      <c r="I77" s="24">
        <v>563771</v>
      </c>
      <c r="J77" s="33">
        <v>563771</v>
      </c>
      <c r="K77" s="34">
        <v>1</v>
      </c>
      <c r="L77" s="33">
        <f t="shared" si="28"/>
        <v>563771</v>
      </c>
      <c r="M77" s="34">
        <v>0</v>
      </c>
      <c r="N77" s="33">
        <f t="shared" si="29"/>
        <v>0</v>
      </c>
      <c r="O77" s="34">
        <v>0</v>
      </c>
      <c r="P77" s="33">
        <f t="shared" si="25"/>
        <v>0</v>
      </c>
      <c r="Q77" s="34">
        <v>0</v>
      </c>
      <c r="R77" s="33">
        <f t="shared" si="26"/>
        <v>0</v>
      </c>
      <c r="S77" s="34">
        <f t="shared" si="27"/>
        <v>1</v>
      </c>
      <c r="T77" s="34"/>
      <c r="U77" s="33">
        <v>730000</v>
      </c>
      <c r="V77" s="24" t="s">
        <v>163</v>
      </c>
      <c r="W77" s="54"/>
      <c r="X77" s="24" t="s">
        <v>167</v>
      </c>
      <c r="Y77" s="72" t="s">
        <v>402</v>
      </c>
      <c r="Z77" s="57">
        <v>2014</v>
      </c>
      <c r="AA77" s="27">
        <v>43</v>
      </c>
      <c r="AB77" s="33">
        <v>43</v>
      </c>
      <c r="AC77" s="54"/>
      <c r="AD77" s="34"/>
      <c r="AE77" s="62">
        <f t="shared" si="22"/>
        <v>0</v>
      </c>
      <c r="AF77" s="34"/>
      <c r="AG77" s="33">
        <f t="shared" si="23"/>
        <v>0</v>
      </c>
      <c r="AH77" s="58"/>
      <c r="AI77" s="33">
        <f t="shared" si="30"/>
        <v>0</v>
      </c>
      <c r="AJ77" s="74">
        <v>1</v>
      </c>
      <c r="AK77" s="54">
        <f t="shared" si="31"/>
        <v>43</v>
      </c>
      <c r="AL77" s="34">
        <v>1</v>
      </c>
      <c r="AM77" s="59">
        <f t="shared" si="24"/>
        <v>43</v>
      </c>
      <c r="AN77" s="67" t="s">
        <v>407</v>
      </c>
      <c r="AO77" s="67"/>
      <c r="AP77" s="60"/>
      <c r="AQ77" s="60"/>
      <c r="AR77" s="60"/>
      <c r="AS77" s="60"/>
      <c r="AT77" s="60"/>
      <c r="AU77" s="60"/>
      <c r="AV77" s="49"/>
      <c r="AW77" s="49"/>
      <c r="AX77" s="49"/>
    </row>
    <row r="78" spans="1:50" ht="15" customHeight="1">
      <c r="A78" s="55" t="s">
        <v>500</v>
      </c>
      <c r="B78" s="22" t="s">
        <v>383</v>
      </c>
      <c r="C78" s="24" t="s">
        <v>476</v>
      </c>
      <c r="D78" s="24" t="s">
        <v>156</v>
      </c>
      <c r="E78" s="179">
        <v>5519464.8339999998</v>
      </c>
      <c r="F78" s="73">
        <v>1789435.47</v>
      </c>
      <c r="G78" s="65" t="s">
        <v>401</v>
      </c>
      <c r="H78" s="24" t="s">
        <v>161</v>
      </c>
      <c r="I78" s="33">
        <v>232215.65</v>
      </c>
      <c r="J78" s="33">
        <v>232215.65</v>
      </c>
      <c r="K78" s="34">
        <v>0</v>
      </c>
      <c r="L78" s="33">
        <f t="shared" si="28"/>
        <v>0</v>
      </c>
      <c r="M78" s="34">
        <v>1</v>
      </c>
      <c r="N78" s="33">
        <f t="shared" si="29"/>
        <v>232215.65</v>
      </c>
      <c r="O78" s="34">
        <v>0</v>
      </c>
      <c r="P78" s="33">
        <f t="shared" si="25"/>
        <v>0</v>
      </c>
      <c r="Q78" s="34">
        <v>0</v>
      </c>
      <c r="R78" s="33">
        <f t="shared" si="26"/>
        <v>0</v>
      </c>
      <c r="S78" s="34">
        <f t="shared" si="27"/>
        <v>1</v>
      </c>
      <c r="T78" s="34"/>
      <c r="U78" s="33">
        <v>401500</v>
      </c>
      <c r="V78" s="24" t="s">
        <v>164</v>
      </c>
      <c r="W78" s="54"/>
      <c r="X78" s="24" t="s">
        <v>168</v>
      </c>
      <c r="Y78" s="22"/>
      <c r="Z78" s="57">
        <v>2048</v>
      </c>
      <c r="AA78" s="33">
        <v>18</v>
      </c>
      <c r="AB78" s="33">
        <v>18</v>
      </c>
      <c r="AC78" s="54"/>
      <c r="AD78" s="34"/>
      <c r="AE78" s="62">
        <f t="shared" si="22"/>
        <v>0</v>
      </c>
      <c r="AF78" s="34"/>
      <c r="AG78" s="33">
        <f t="shared" si="23"/>
        <v>0</v>
      </c>
      <c r="AH78" s="58"/>
      <c r="AI78" s="33">
        <f t="shared" si="30"/>
        <v>0</v>
      </c>
      <c r="AJ78" s="74">
        <v>1</v>
      </c>
      <c r="AK78" s="54">
        <f t="shared" si="31"/>
        <v>18</v>
      </c>
      <c r="AL78" s="34">
        <v>1</v>
      </c>
      <c r="AM78" s="59">
        <f t="shared" si="24"/>
        <v>18</v>
      </c>
      <c r="AN78" s="67" t="s">
        <v>407</v>
      </c>
      <c r="AO78" s="67"/>
      <c r="AP78" s="60"/>
      <c r="AQ78" s="60"/>
      <c r="AR78" s="60"/>
      <c r="AS78" s="60"/>
      <c r="AT78" s="60"/>
      <c r="AU78" s="60"/>
      <c r="AV78" s="49"/>
      <c r="AW78" s="49"/>
      <c r="AX78" s="49"/>
    </row>
    <row r="79" spans="1:50" ht="15" customHeight="1">
      <c r="A79" s="55" t="s">
        <v>500</v>
      </c>
      <c r="B79" s="22" t="s">
        <v>383</v>
      </c>
      <c r="C79" s="24" t="s">
        <v>476</v>
      </c>
      <c r="D79" s="24" t="s">
        <v>157</v>
      </c>
      <c r="E79" s="179">
        <v>5509620.2829999998</v>
      </c>
      <c r="F79" s="73">
        <v>1803330.6140000001</v>
      </c>
      <c r="G79" s="65" t="s">
        <v>401</v>
      </c>
      <c r="H79" s="24" t="s">
        <v>161</v>
      </c>
      <c r="I79" s="33">
        <v>140241.22</v>
      </c>
      <c r="J79" s="33">
        <v>140241.22</v>
      </c>
      <c r="K79" s="34">
        <v>0</v>
      </c>
      <c r="L79" s="33">
        <f t="shared" si="28"/>
        <v>0</v>
      </c>
      <c r="M79" s="34">
        <v>1</v>
      </c>
      <c r="N79" s="33">
        <f t="shared" si="29"/>
        <v>140241.22</v>
      </c>
      <c r="O79" s="34">
        <v>0</v>
      </c>
      <c r="P79" s="33">
        <f t="shared" si="25"/>
        <v>0</v>
      </c>
      <c r="Q79" s="34">
        <v>0</v>
      </c>
      <c r="R79" s="33">
        <f t="shared" si="26"/>
        <v>0</v>
      </c>
      <c r="S79" s="34">
        <f t="shared" si="27"/>
        <v>1</v>
      </c>
      <c r="T79" s="34"/>
      <c r="U79" s="33">
        <v>1122375</v>
      </c>
      <c r="V79" s="24" t="s">
        <v>165</v>
      </c>
      <c r="W79" s="54"/>
      <c r="X79" s="24" t="s">
        <v>404</v>
      </c>
      <c r="Y79" s="22"/>
      <c r="Z79" s="57" t="s">
        <v>406</v>
      </c>
      <c r="AA79" s="33">
        <v>10.5</v>
      </c>
      <c r="AB79" s="33">
        <v>10.5</v>
      </c>
      <c r="AC79" s="54"/>
      <c r="AD79" s="34"/>
      <c r="AE79" s="62">
        <f t="shared" si="22"/>
        <v>0</v>
      </c>
      <c r="AF79" s="34"/>
      <c r="AG79" s="33">
        <f t="shared" si="23"/>
        <v>0</v>
      </c>
      <c r="AH79" s="58"/>
      <c r="AI79" s="33">
        <f t="shared" si="30"/>
        <v>0</v>
      </c>
      <c r="AJ79" s="74">
        <v>1</v>
      </c>
      <c r="AK79" s="54">
        <f t="shared" si="31"/>
        <v>10.5</v>
      </c>
      <c r="AL79" s="34">
        <v>1</v>
      </c>
      <c r="AM79" s="59">
        <f t="shared" si="24"/>
        <v>10.5</v>
      </c>
      <c r="AN79" s="67" t="s">
        <v>407</v>
      </c>
      <c r="AO79" s="67"/>
      <c r="AP79" s="60"/>
      <c r="AQ79" s="60"/>
      <c r="AR79" s="60"/>
      <c r="AS79" s="60"/>
      <c r="AT79" s="60"/>
      <c r="AU79" s="60"/>
      <c r="AV79" s="49"/>
      <c r="AW79" s="49"/>
      <c r="AX79" s="49"/>
    </row>
    <row r="80" spans="1:50" ht="15" customHeight="1">
      <c r="A80" s="55" t="s">
        <v>500</v>
      </c>
      <c r="B80" s="22" t="s">
        <v>383</v>
      </c>
      <c r="C80" s="24" t="s">
        <v>476</v>
      </c>
      <c r="D80" s="24" t="s">
        <v>158</v>
      </c>
      <c r="E80" s="179">
        <v>5516439.3039999995</v>
      </c>
      <c r="F80" s="73">
        <v>1811942.716</v>
      </c>
      <c r="G80" s="65" t="s">
        <v>401</v>
      </c>
      <c r="H80" s="24" t="s">
        <v>161</v>
      </c>
      <c r="I80" s="33">
        <v>93854.59</v>
      </c>
      <c r="J80" s="33">
        <v>93854.59</v>
      </c>
      <c r="K80" s="34">
        <v>1</v>
      </c>
      <c r="L80" s="33">
        <f t="shared" si="28"/>
        <v>93854.59</v>
      </c>
      <c r="M80" s="34">
        <v>0</v>
      </c>
      <c r="N80" s="33">
        <f t="shared" si="29"/>
        <v>0</v>
      </c>
      <c r="O80" s="34">
        <v>0</v>
      </c>
      <c r="P80" s="33">
        <f t="shared" si="25"/>
        <v>0</v>
      </c>
      <c r="Q80" s="34">
        <v>0</v>
      </c>
      <c r="R80" s="33">
        <f t="shared" si="26"/>
        <v>0</v>
      </c>
      <c r="S80" s="34">
        <f t="shared" si="27"/>
        <v>1</v>
      </c>
      <c r="T80" s="34"/>
      <c r="U80" s="33">
        <v>91250</v>
      </c>
      <c r="V80" s="24" t="s">
        <v>39</v>
      </c>
      <c r="W80" s="54"/>
      <c r="X80" s="24" t="s">
        <v>169</v>
      </c>
      <c r="Y80" s="22"/>
      <c r="Z80" s="57">
        <v>2017</v>
      </c>
      <c r="AA80" s="33">
        <v>7</v>
      </c>
      <c r="AB80" s="33">
        <v>7</v>
      </c>
      <c r="AC80" s="54"/>
      <c r="AD80" s="34"/>
      <c r="AE80" s="62">
        <f t="shared" si="22"/>
        <v>0</v>
      </c>
      <c r="AF80" s="34"/>
      <c r="AG80" s="33">
        <f t="shared" si="23"/>
        <v>0</v>
      </c>
      <c r="AH80" s="58"/>
      <c r="AI80" s="33">
        <f t="shared" si="30"/>
        <v>0</v>
      </c>
      <c r="AJ80" s="74">
        <v>1</v>
      </c>
      <c r="AK80" s="54">
        <f t="shared" si="31"/>
        <v>7</v>
      </c>
      <c r="AL80" s="34">
        <v>1</v>
      </c>
      <c r="AM80" s="59">
        <f t="shared" si="24"/>
        <v>7</v>
      </c>
      <c r="AN80" s="67" t="s">
        <v>407</v>
      </c>
      <c r="AO80" s="67"/>
      <c r="AP80" s="60"/>
      <c r="AQ80" s="60"/>
      <c r="AR80" s="60"/>
      <c r="AS80" s="60"/>
      <c r="AT80" s="60"/>
      <c r="AU80" s="60"/>
      <c r="AV80" s="49"/>
      <c r="AW80" s="49"/>
      <c r="AX80" s="49"/>
    </row>
    <row r="81" spans="1:50" ht="15" customHeight="1">
      <c r="A81" s="55" t="s">
        <v>500</v>
      </c>
      <c r="B81" s="22" t="s">
        <v>383</v>
      </c>
      <c r="C81" s="24" t="s">
        <v>476</v>
      </c>
      <c r="D81" s="24" t="s">
        <v>159</v>
      </c>
      <c r="E81" s="179">
        <v>5506974.3820000002</v>
      </c>
      <c r="F81" s="73">
        <v>1786456.2720000001</v>
      </c>
      <c r="G81" s="65" t="s">
        <v>401</v>
      </c>
      <c r="H81" s="24" t="s">
        <v>161</v>
      </c>
      <c r="I81" s="33">
        <v>74258</v>
      </c>
      <c r="J81" s="33">
        <v>74258</v>
      </c>
      <c r="K81" s="34">
        <v>0</v>
      </c>
      <c r="L81" s="33">
        <f t="shared" si="28"/>
        <v>0</v>
      </c>
      <c r="M81" s="34">
        <v>1</v>
      </c>
      <c r="N81" s="33">
        <f t="shared" si="29"/>
        <v>74258</v>
      </c>
      <c r="O81" s="34">
        <v>0</v>
      </c>
      <c r="P81" s="33">
        <f t="shared" si="25"/>
        <v>0</v>
      </c>
      <c r="Q81" s="34">
        <v>0</v>
      </c>
      <c r="R81" s="33">
        <f t="shared" si="26"/>
        <v>0</v>
      </c>
      <c r="S81" s="34">
        <f t="shared" si="27"/>
        <v>1</v>
      </c>
      <c r="T81" s="34"/>
      <c r="U81" s="33">
        <v>260975</v>
      </c>
      <c r="V81" s="24" t="s">
        <v>39</v>
      </c>
      <c r="W81" s="54"/>
      <c r="X81" s="24" t="s">
        <v>170</v>
      </c>
      <c r="Y81" s="72" t="s">
        <v>403</v>
      </c>
      <c r="Z81" s="57">
        <v>2007</v>
      </c>
      <c r="AA81" s="33">
        <v>5.5</v>
      </c>
      <c r="AB81" s="33">
        <v>5.5</v>
      </c>
      <c r="AC81" s="54"/>
      <c r="AD81" s="34"/>
      <c r="AE81" s="62">
        <f t="shared" si="22"/>
        <v>0</v>
      </c>
      <c r="AF81" s="34"/>
      <c r="AG81" s="33">
        <f t="shared" si="23"/>
        <v>0</v>
      </c>
      <c r="AH81" s="58"/>
      <c r="AI81" s="33">
        <f t="shared" si="30"/>
        <v>0</v>
      </c>
      <c r="AJ81" s="74">
        <v>1</v>
      </c>
      <c r="AK81" s="54">
        <f t="shared" si="31"/>
        <v>5.5</v>
      </c>
      <c r="AL81" s="34">
        <v>1</v>
      </c>
      <c r="AM81" s="59">
        <f t="shared" si="24"/>
        <v>5.5</v>
      </c>
      <c r="AN81" s="67" t="s">
        <v>407</v>
      </c>
      <c r="AO81" s="67"/>
      <c r="AP81" s="60"/>
      <c r="AQ81" s="60"/>
      <c r="AR81" s="60"/>
      <c r="AS81" s="60"/>
      <c r="AT81" s="60"/>
      <c r="AU81" s="60"/>
      <c r="AV81" s="49"/>
      <c r="AW81" s="49"/>
      <c r="AX81" s="49"/>
    </row>
    <row r="82" spans="1:50" ht="15" customHeight="1">
      <c r="A82" s="53" t="s">
        <v>252</v>
      </c>
      <c r="B82" s="22" t="s">
        <v>383</v>
      </c>
      <c r="C82" s="24" t="s">
        <v>476</v>
      </c>
      <c r="D82" s="24" t="s">
        <v>251</v>
      </c>
      <c r="E82" s="178">
        <v>5433137.0932</v>
      </c>
      <c r="F82" s="165">
        <v>1759683.17282</v>
      </c>
      <c r="G82" s="33" t="s">
        <v>408</v>
      </c>
      <c r="H82" s="35" t="s">
        <v>54</v>
      </c>
      <c r="I82" s="75">
        <v>18362282</v>
      </c>
      <c r="J82" s="33">
        <v>18495078</v>
      </c>
      <c r="K82" s="34">
        <v>0</v>
      </c>
      <c r="L82" s="33">
        <f t="shared" si="28"/>
        <v>0</v>
      </c>
      <c r="M82" s="34">
        <v>0</v>
      </c>
      <c r="N82" s="33">
        <f t="shared" si="29"/>
        <v>0</v>
      </c>
      <c r="O82" s="34">
        <v>0</v>
      </c>
      <c r="P82" s="33">
        <f t="shared" si="25"/>
        <v>0</v>
      </c>
      <c r="Q82" s="34">
        <v>1</v>
      </c>
      <c r="R82" s="33">
        <f t="shared" si="26"/>
        <v>18362282</v>
      </c>
      <c r="S82" s="34">
        <f t="shared" si="27"/>
        <v>1</v>
      </c>
      <c r="T82" s="34">
        <v>5.5E-2</v>
      </c>
      <c r="U82" s="33">
        <v>21900000</v>
      </c>
      <c r="V82" s="35">
        <v>48187</v>
      </c>
      <c r="W82" s="145" t="s">
        <v>39</v>
      </c>
      <c r="X82" s="35">
        <v>48085</v>
      </c>
      <c r="Y82" s="81"/>
      <c r="Z82" s="57">
        <v>2031</v>
      </c>
      <c r="AA82" s="31">
        <v>2327.75</v>
      </c>
      <c r="AB82" s="33">
        <v>3583</v>
      </c>
      <c r="AC82" s="54"/>
      <c r="AD82" s="34">
        <v>0</v>
      </c>
      <c r="AE82" s="62">
        <f t="shared" si="22"/>
        <v>0</v>
      </c>
      <c r="AF82" s="34">
        <v>0</v>
      </c>
      <c r="AG82" s="33">
        <f t="shared" si="23"/>
        <v>0</v>
      </c>
      <c r="AH82" s="58">
        <v>1</v>
      </c>
      <c r="AI82" s="33">
        <f t="shared" si="30"/>
        <v>2327.75</v>
      </c>
      <c r="AJ82" s="24"/>
      <c r="AK82" s="54">
        <f t="shared" si="31"/>
        <v>0</v>
      </c>
      <c r="AL82" s="34">
        <v>0</v>
      </c>
      <c r="AM82" s="59">
        <f t="shared" si="24"/>
        <v>0</v>
      </c>
      <c r="AN82" s="77" t="s">
        <v>409</v>
      </c>
      <c r="AO82" s="60"/>
      <c r="AP82" s="60"/>
      <c r="AQ82" s="60"/>
      <c r="AR82" s="60"/>
      <c r="AS82" s="60"/>
      <c r="AT82" s="60"/>
      <c r="AU82" s="60"/>
      <c r="AV82" s="49"/>
      <c r="AW82" s="49"/>
      <c r="AX82" s="49"/>
    </row>
    <row r="83" spans="1:50" ht="15" customHeight="1">
      <c r="A83" s="55" t="s">
        <v>499</v>
      </c>
      <c r="B83" s="22" t="s">
        <v>383</v>
      </c>
      <c r="C83" s="24" t="s">
        <v>476</v>
      </c>
      <c r="D83" s="24" t="s">
        <v>151</v>
      </c>
      <c r="E83" s="177">
        <v>4845401.4270000001</v>
      </c>
      <c r="F83" s="33">
        <v>1243376.047</v>
      </c>
      <c r="G83" s="33"/>
      <c r="H83" s="34" t="s">
        <v>37</v>
      </c>
      <c r="I83" s="21">
        <v>13824850</v>
      </c>
      <c r="J83" s="33">
        <v>8606653</v>
      </c>
      <c r="K83" s="34">
        <v>0</v>
      </c>
      <c r="L83" s="33">
        <f t="shared" si="28"/>
        <v>0</v>
      </c>
      <c r="M83" s="34">
        <v>0</v>
      </c>
      <c r="N83" s="33">
        <f t="shared" si="29"/>
        <v>0</v>
      </c>
      <c r="O83" s="34">
        <v>1</v>
      </c>
      <c r="P83" s="33">
        <f t="shared" si="25"/>
        <v>13824850</v>
      </c>
      <c r="Q83" s="34">
        <v>0</v>
      </c>
      <c r="R83" s="33">
        <f t="shared" si="26"/>
        <v>0</v>
      </c>
      <c r="S83" s="34">
        <f t="shared" si="27"/>
        <v>1</v>
      </c>
      <c r="T83" s="34">
        <v>0.2</v>
      </c>
      <c r="U83" s="33"/>
      <c r="V83" s="35">
        <v>47268</v>
      </c>
      <c r="W83" s="143">
        <v>49296</v>
      </c>
      <c r="X83" s="35">
        <v>47299</v>
      </c>
      <c r="Y83" s="72"/>
      <c r="Z83" s="57">
        <v>2029</v>
      </c>
      <c r="AA83" s="27">
        <v>512</v>
      </c>
      <c r="AB83" s="33"/>
      <c r="AC83" s="78"/>
      <c r="AD83" s="34">
        <v>0.60399999999999998</v>
      </c>
      <c r="AE83" s="62">
        <f t="shared" si="22"/>
        <v>309.24799999999999</v>
      </c>
      <c r="AF83" s="34"/>
      <c r="AG83" s="33">
        <f t="shared" si="23"/>
        <v>0</v>
      </c>
      <c r="AH83" s="58"/>
      <c r="AI83" s="33">
        <f t="shared" si="30"/>
        <v>0</v>
      </c>
      <c r="AJ83" s="24"/>
      <c r="AK83" s="54">
        <f t="shared" si="31"/>
        <v>0</v>
      </c>
      <c r="AL83" s="34">
        <v>0.39600000000000002</v>
      </c>
      <c r="AM83" s="59">
        <f t="shared" si="24"/>
        <v>202.75200000000001</v>
      </c>
      <c r="AN83" s="19" t="s">
        <v>410</v>
      </c>
      <c r="AO83" s="60"/>
      <c r="AP83" s="60"/>
      <c r="AQ83" s="68"/>
      <c r="AR83" s="60"/>
      <c r="AS83" s="60"/>
      <c r="AT83" s="60"/>
      <c r="AU83" s="60"/>
      <c r="AV83" s="49"/>
      <c r="AW83" s="49"/>
      <c r="AX83" s="49"/>
    </row>
    <row r="84" spans="1:50" ht="15" customHeight="1">
      <c r="A84" s="55" t="s">
        <v>499</v>
      </c>
      <c r="B84" s="22" t="s">
        <v>383</v>
      </c>
      <c r="C84" s="24" t="s">
        <v>476</v>
      </c>
      <c r="D84" s="24" t="s">
        <v>152</v>
      </c>
      <c r="E84" s="177">
        <v>4828789.8509999998</v>
      </c>
      <c r="F84" s="33">
        <v>1241396.379</v>
      </c>
      <c r="G84" s="33"/>
      <c r="H84" s="34" t="s">
        <v>54</v>
      </c>
      <c r="I84" s="21">
        <v>423096</v>
      </c>
      <c r="J84" s="33">
        <v>455676</v>
      </c>
      <c r="K84" s="34">
        <v>0</v>
      </c>
      <c r="L84" s="33">
        <f t="shared" si="28"/>
        <v>0</v>
      </c>
      <c r="M84" s="34">
        <v>0</v>
      </c>
      <c r="N84" s="33">
        <f t="shared" si="29"/>
        <v>0</v>
      </c>
      <c r="O84" s="34">
        <v>0</v>
      </c>
      <c r="P84" s="33">
        <f t="shared" si="25"/>
        <v>0</v>
      </c>
      <c r="Q84" s="34">
        <v>1</v>
      </c>
      <c r="R84" s="33">
        <f t="shared" si="26"/>
        <v>423096</v>
      </c>
      <c r="S84" s="34">
        <f t="shared" si="27"/>
        <v>1</v>
      </c>
      <c r="T84" s="34">
        <v>0.2</v>
      </c>
      <c r="U84" s="33"/>
      <c r="V84" s="34"/>
      <c r="W84" s="78"/>
      <c r="X84" s="35">
        <v>46022</v>
      </c>
      <c r="Y84" s="72"/>
      <c r="Z84" s="57">
        <v>2025</v>
      </c>
      <c r="AA84" s="33"/>
      <c r="AB84" s="33"/>
      <c r="AC84" s="78"/>
      <c r="AD84" s="34"/>
      <c r="AE84" s="62">
        <f t="shared" si="22"/>
        <v>0</v>
      </c>
      <c r="AF84" s="34"/>
      <c r="AG84" s="33">
        <f t="shared" si="23"/>
        <v>0</v>
      </c>
      <c r="AH84" s="58"/>
      <c r="AI84" s="33">
        <f t="shared" si="30"/>
        <v>0</v>
      </c>
      <c r="AJ84" s="24"/>
      <c r="AK84" s="54">
        <f t="shared" si="31"/>
        <v>0</v>
      </c>
      <c r="AL84" s="34"/>
      <c r="AM84" s="59">
        <f t="shared" si="24"/>
        <v>0</v>
      </c>
      <c r="AN84" s="60"/>
      <c r="AO84" s="60"/>
      <c r="AP84" s="60"/>
      <c r="AQ84" s="68"/>
      <c r="AR84" s="60"/>
      <c r="AS84" s="60"/>
      <c r="AT84" s="60"/>
      <c r="AU84" s="60"/>
      <c r="AV84" s="49"/>
      <c r="AW84" s="49"/>
      <c r="AX84" s="49"/>
    </row>
    <row r="85" spans="1:50" ht="15" customHeight="1">
      <c r="A85" s="55" t="s">
        <v>499</v>
      </c>
      <c r="B85" s="22" t="s">
        <v>383</v>
      </c>
      <c r="C85" s="24" t="s">
        <v>476</v>
      </c>
      <c r="D85" s="24" t="s">
        <v>153</v>
      </c>
      <c r="E85" s="177">
        <v>4837607.2790000001</v>
      </c>
      <c r="F85" s="33">
        <v>1236639.9180000001</v>
      </c>
      <c r="G85" s="24"/>
      <c r="H85" s="34" t="s">
        <v>54</v>
      </c>
      <c r="I85" s="33">
        <v>1520</v>
      </c>
      <c r="J85" s="33">
        <v>1520</v>
      </c>
      <c r="K85" s="34">
        <v>0</v>
      </c>
      <c r="L85" s="33">
        <f t="shared" si="28"/>
        <v>0</v>
      </c>
      <c r="M85" s="34">
        <v>1</v>
      </c>
      <c r="N85" s="33">
        <f t="shared" si="29"/>
        <v>1520</v>
      </c>
      <c r="O85" s="34">
        <v>0</v>
      </c>
      <c r="P85" s="33">
        <f t="shared" si="25"/>
        <v>0</v>
      </c>
      <c r="Q85" s="34">
        <v>0</v>
      </c>
      <c r="R85" s="33">
        <f t="shared" si="26"/>
        <v>0</v>
      </c>
      <c r="S85" s="34">
        <f t="shared" si="27"/>
        <v>1</v>
      </c>
      <c r="T85" s="34">
        <v>0.2</v>
      </c>
      <c r="U85" s="33"/>
      <c r="V85" s="24"/>
      <c r="W85" s="78"/>
      <c r="X85" s="35">
        <v>47175</v>
      </c>
      <c r="Y85" s="72"/>
      <c r="Z85" s="57">
        <v>2029</v>
      </c>
      <c r="AA85" s="33"/>
      <c r="AB85" s="33"/>
      <c r="AC85" s="78"/>
      <c r="AD85" s="34"/>
      <c r="AE85" s="62">
        <f t="shared" si="22"/>
        <v>0</v>
      </c>
      <c r="AF85" s="34"/>
      <c r="AG85" s="33">
        <f t="shared" si="23"/>
        <v>0</v>
      </c>
      <c r="AH85" s="58"/>
      <c r="AI85" s="33">
        <f t="shared" si="30"/>
        <v>0</v>
      </c>
      <c r="AJ85" s="24"/>
      <c r="AK85" s="54">
        <f t="shared" si="31"/>
        <v>0</v>
      </c>
      <c r="AL85" s="34"/>
      <c r="AM85" s="59">
        <f t="shared" si="24"/>
        <v>0</v>
      </c>
      <c r="AN85" s="67"/>
      <c r="AO85" s="67"/>
      <c r="AP85" s="60"/>
      <c r="AQ85" s="68"/>
      <c r="AR85" s="68"/>
      <c r="AS85" s="68"/>
      <c r="AT85" s="60"/>
      <c r="AU85" s="60"/>
      <c r="AV85" s="49"/>
      <c r="AW85" s="49"/>
      <c r="AX85" s="49"/>
    </row>
    <row r="86" spans="1:50" ht="15" customHeight="1">
      <c r="A86" s="55" t="s">
        <v>458</v>
      </c>
      <c r="B86" s="22" t="s">
        <v>383</v>
      </c>
      <c r="C86" s="24" t="s">
        <v>476</v>
      </c>
      <c r="D86" s="188" t="s">
        <v>459</v>
      </c>
      <c r="E86" s="180" t="s">
        <v>469</v>
      </c>
      <c r="F86" s="98" t="s">
        <v>470</v>
      </c>
      <c r="G86" s="65" t="s">
        <v>468</v>
      </c>
      <c r="H86" s="24" t="s">
        <v>54</v>
      </c>
      <c r="I86" s="79">
        <v>335521</v>
      </c>
      <c r="J86" s="33"/>
      <c r="K86" s="34">
        <v>0</v>
      </c>
      <c r="L86" s="33">
        <f>$I86*K86</f>
        <v>0</v>
      </c>
      <c r="M86" s="34">
        <v>1</v>
      </c>
      <c r="N86" s="33">
        <f>$I86*M86</f>
        <v>335521</v>
      </c>
      <c r="O86" s="34">
        <v>0</v>
      </c>
      <c r="P86" s="33">
        <f t="shared" si="25"/>
        <v>0</v>
      </c>
      <c r="Q86" s="34">
        <v>0</v>
      </c>
      <c r="R86" s="33">
        <f t="shared" si="26"/>
        <v>0</v>
      </c>
      <c r="S86" s="34">
        <f t="shared" si="27"/>
        <v>1</v>
      </c>
      <c r="T86" s="34">
        <v>0</v>
      </c>
      <c r="U86" s="33"/>
      <c r="V86" s="35">
        <v>48124</v>
      </c>
      <c r="W86" s="143">
        <v>42596</v>
      </c>
      <c r="X86" s="35">
        <v>48124</v>
      </c>
      <c r="Y86" s="22" t="s">
        <v>424</v>
      </c>
      <c r="Z86" s="57">
        <v>2016</v>
      </c>
      <c r="AA86" s="27">
        <v>60</v>
      </c>
      <c r="AB86" s="33"/>
      <c r="AC86" s="54"/>
      <c r="AD86" s="34">
        <v>1</v>
      </c>
      <c r="AE86" s="62">
        <f t="shared" si="22"/>
        <v>60</v>
      </c>
      <c r="AF86" s="34">
        <v>0</v>
      </c>
      <c r="AG86" s="33">
        <f t="shared" si="23"/>
        <v>0</v>
      </c>
      <c r="AH86" s="58">
        <v>0</v>
      </c>
      <c r="AI86" s="33">
        <f>AA86*AH355</f>
        <v>0</v>
      </c>
      <c r="AJ86" s="24"/>
      <c r="AK86" s="54"/>
      <c r="AL86" s="34">
        <v>0</v>
      </c>
      <c r="AM86" s="59">
        <f t="shared" si="24"/>
        <v>0</v>
      </c>
      <c r="AN86" s="60"/>
      <c r="AO86" s="60"/>
      <c r="AP86" s="60"/>
      <c r="AQ86" s="60"/>
      <c r="AR86" s="60"/>
      <c r="AS86" s="60"/>
      <c r="AT86" s="60"/>
      <c r="AU86" s="60"/>
      <c r="AV86" s="49"/>
      <c r="AW86" s="49"/>
      <c r="AX86" s="49"/>
    </row>
    <row r="87" spans="1:50" ht="15" customHeight="1">
      <c r="A87" s="55" t="s">
        <v>497</v>
      </c>
      <c r="B87" s="22" t="s">
        <v>383</v>
      </c>
      <c r="C87" s="24" t="s">
        <v>476</v>
      </c>
      <c r="D87" s="34" t="s">
        <v>150</v>
      </c>
      <c r="E87" s="177">
        <v>6023392</v>
      </c>
      <c r="F87" s="33">
        <v>1680654</v>
      </c>
      <c r="G87" s="33"/>
      <c r="H87" s="34" t="s">
        <v>54</v>
      </c>
      <c r="I87" s="80">
        <v>998874</v>
      </c>
      <c r="J87" s="33">
        <v>1043211</v>
      </c>
      <c r="K87" s="34">
        <v>1</v>
      </c>
      <c r="L87" s="33">
        <f t="shared" ref="L87:L97" si="32">I87*K87</f>
        <v>998874</v>
      </c>
      <c r="M87" s="34">
        <v>0</v>
      </c>
      <c r="N87" s="33">
        <f t="shared" ref="N87:N97" si="33">I87*M87</f>
        <v>0</v>
      </c>
      <c r="O87" s="34">
        <v>0</v>
      </c>
      <c r="P87" s="33">
        <f t="shared" si="25"/>
        <v>0</v>
      </c>
      <c r="Q87" s="34">
        <v>0</v>
      </c>
      <c r="R87" s="33">
        <f t="shared" si="26"/>
        <v>0</v>
      </c>
      <c r="S87" s="34">
        <f t="shared" si="27"/>
        <v>1</v>
      </c>
      <c r="T87" s="34">
        <v>0</v>
      </c>
      <c r="U87" s="33"/>
      <c r="V87" s="35">
        <v>44742</v>
      </c>
      <c r="W87" s="143">
        <v>44742</v>
      </c>
      <c r="X87" s="35">
        <v>44742</v>
      </c>
      <c r="Y87" s="72"/>
      <c r="Z87" s="57">
        <v>2022</v>
      </c>
      <c r="AA87" s="33">
        <v>0</v>
      </c>
      <c r="AB87" s="33">
        <v>0</v>
      </c>
      <c r="AC87" s="54"/>
      <c r="AD87" s="34">
        <v>0</v>
      </c>
      <c r="AE87" s="62">
        <f t="shared" si="22"/>
        <v>0</v>
      </c>
      <c r="AF87" s="34">
        <v>0</v>
      </c>
      <c r="AG87" s="33">
        <f t="shared" si="23"/>
        <v>0</v>
      </c>
      <c r="AH87" s="58">
        <v>0</v>
      </c>
      <c r="AI87" s="33">
        <f t="shared" ref="AI87:AI97" si="34">AA87*AH87</f>
        <v>0</v>
      </c>
      <c r="AJ87" s="24"/>
      <c r="AK87" s="54">
        <f t="shared" ref="AK87:AK97" si="35">AJ87*AA87</f>
        <v>0</v>
      </c>
      <c r="AL87" s="34">
        <v>0</v>
      </c>
      <c r="AM87" s="59">
        <f t="shared" si="24"/>
        <v>0</v>
      </c>
      <c r="AN87" s="69" t="s">
        <v>411</v>
      </c>
      <c r="AO87" s="69"/>
      <c r="AP87" s="60"/>
      <c r="AQ87" s="60"/>
      <c r="AR87" s="60"/>
      <c r="AS87" s="60"/>
      <c r="AT87" s="60"/>
      <c r="AU87" s="60"/>
      <c r="AV87" s="49"/>
      <c r="AW87" s="49"/>
      <c r="AX87" s="49"/>
    </row>
    <row r="88" spans="1:50" ht="15" customHeight="1">
      <c r="A88" s="55" t="s">
        <v>498</v>
      </c>
      <c r="B88" s="22" t="s">
        <v>383</v>
      </c>
      <c r="C88" s="24" t="s">
        <v>476</v>
      </c>
      <c r="D88" s="34" t="s">
        <v>148</v>
      </c>
      <c r="E88" s="177">
        <v>5470732.4800000004</v>
      </c>
      <c r="F88" s="33">
        <v>1769872.8</v>
      </c>
      <c r="G88" s="33"/>
      <c r="H88" s="34" t="s">
        <v>37</v>
      </c>
      <c r="I88" s="21">
        <v>3627792</v>
      </c>
      <c r="J88" s="33">
        <v>3929955</v>
      </c>
      <c r="K88" s="34">
        <v>1</v>
      </c>
      <c r="L88" s="33">
        <f t="shared" si="32"/>
        <v>3627792</v>
      </c>
      <c r="M88" s="34">
        <v>0</v>
      </c>
      <c r="N88" s="33">
        <f t="shared" si="33"/>
        <v>0</v>
      </c>
      <c r="O88" s="34">
        <v>0</v>
      </c>
      <c r="P88" s="33">
        <f t="shared" si="25"/>
        <v>0</v>
      </c>
      <c r="Q88" s="34">
        <v>0</v>
      </c>
      <c r="R88" s="33">
        <f t="shared" si="26"/>
        <v>0</v>
      </c>
      <c r="S88" s="34">
        <f t="shared" si="27"/>
        <v>1</v>
      </c>
      <c r="T88" s="34">
        <v>3.4000000000000002E-2</v>
      </c>
      <c r="U88" s="33">
        <v>21300</v>
      </c>
      <c r="V88" s="36">
        <v>44651</v>
      </c>
      <c r="W88" s="146">
        <v>47299</v>
      </c>
      <c r="X88" s="35">
        <v>44651</v>
      </c>
      <c r="Y88" s="152"/>
      <c r="Z88" s="57">
        <v>2022</v>
      </c>
      <c r="AA88" s="27">
        <v>1814</v>
      </c>
      <c r="AB88" s="33"/>
      <c r="AC88" s="78"/>
      <c r="AD88" s="34">
        <v>0</v>
      </c>
      <c r="AE88" s="62">
        <f t="shared" si="22"/>
        <v>0</v>
      </c>
      <c r="AF88" s="34">
        <v>1</v>
      </c>
      <c r="AG88" s="33">
        <f t="shared" si="23"/>
        <v>1814</v>
      </c>
      <c r="AH88" s="58">
        <v>0</v>
      </c>
      <c r="AI88" s="33">
        <f t="shared" si="34"/>
        <v>0</v>
      </c>
      <c r="AJ88" s="24"/>
      <c r="AK88" s="54">
        <f t="shared" si="35"/>
        <v>0</v>
      </c>
      <c r="AL88" s="34">
        <v>0</v>
      </c>
      <c r="AM88" s="59">
        <f t="shared" si="24"/>
        <v>0</v>
      </c>
      <c r="AN88" s="67"/>
      <c r="AO88" s="67"/>
      <c r="AP88" s="67"/>
      <c r="AQ88" s="67"/>
      <c r="AR88" s="60"/>
      <c r="AS88" s="67"/>
      <c r="AT88" s="60"/>
      <c r="AU88" s="60"/>
      <c r="AV88" s="49"/>
      <c r="AW88" s="49"/>
      <c r="AX88" s="49"/>
    </row>
    <row r="89" spans="1:50" ht="15" customHeight="1">
      <c r="A89" s="55" t="s">
        <v>498</v>
      </c>
      <c r="B89" s="22" t="s">
        <v>383</v>
      </c>
      <c r="C89" s="24" t="s">
        <v>476</v>
      </c>
      <c r="D89" s="34" t="s">
        <v>149</v>
      </c>
      <c r="E89" s="176">
        <v>5485482</v>
      </c>
      <c r="F89" s="27">
        <v>1781452</v>
      </c>
      <c r="G89" s="33" t="s">
        <v>408</v>
      </c>
      <c r="H89" s="24" t="s">
        <v>37</v>
      </c>
      <c r="I89" s="21">
        <v>684420</v>
      </c>
      <c r="J89" s="33">
        <v>967250</v>
      </c>
      <c r="K89" s="34">
        <v>0</v>
      </c>
      <c r="L89" s="33">
        <f t="shared" si="32"/>
        <v>0</v>
      </c>
      <c r="M89" s="34">
        <v>1</v>
      </c>
      <c r="N89" s="33">
        <f t="shared" si="33"/>
        <v>684420</v>
      </c>
      <c r="O89" s="34">
        <v>0</v>
      </c>
      <c r="P89" s="33">
        <f t="shared" si="25"/>
        <v>0</v>
      </c>
      <c r="Q89" s="34">
        <v>0</v>
      </c>
      <c r="R89" s="33">
        <f t="shared" si="26"/>
        <v>0</v>
      </c>
      <c r="S89" s="34">
        <f t="shared" si="27"/>
        <v>1</v>
      </c>
      <c r="T89" s="34">
        <v>1.7000000000000001E-2</v>
      </c>
      <c r="U89" s="33">
        <v>21300</v>
      </c>
      <c r="V89" s="36">
        <v>42277</v>
      </c>
      <c r="W89" s="146">
        <v>47299</v>
      </c>
      <c r="X89" s="35">
        <v>42277</v>
      </c>
      <c r="Y89" s="72" t="s">
        <v>412</v>
      </c>
      <c r="Z89" s="57">
        <v>2015</v>
      </c>
      <c r="AA89" s="33"/>
      <c r="AB89" s="33"/>
      <c r="AC89" s="54"/>
      <c r="AD89" s="34">
        <v>0</v>
      </c>
      <c r="AE89" s="62">
        <f t="shared" si="22"/>
        <v>0</v>
      </c>
      <c r="AF89" s="34">
        <v>1</v>
      </c>
      <c r="AG89" s="33">
        <f t="shared" si="23"/>
        <v>0</v>
      </c>
      <c r="AH89" s="58">
        <v>0</v>
      </c>
      <c r="AI89" s="33">
        <f t="shared" si="34"/>
        <v>0</v>
      </c>
      <c r="AJ89" s="24"/>
      <c r="AK89" s="54">
        <f t="shared" si="35"/>
        <v>0</v>
      </c>
      <c r="AL89" s="34">
        <v>0</v>
      </c>
      <c r="AM89" s="59">
        <f t="shared" si="24"/>
        <v>0</v>
      </c>
      <c r="AN89" s="69"/>
      <c r="AO89" s="69"/>
      <c r="AP89" s="67"/>
      <c r="AQ89" s="67"/>
      <c r="AR89" s="60"/>
      <c r="AS89" s="67"/>
      <c r="AT89" s="60"/>
      <c r="AU89" s="60"/>
      <c r="AV89" s="49"/>
      <c r="AW89" s="49"/>
      <c r="AX89" s="49"/>
    </row>
    <row r="90" spans="1:50" ht="15" customHeight="1">
      <c r="A90" s="55" t="s">
        <v>496</v>
      </c>
      <c r="B90" s="22" t="s">
        <v>383</v>
      </c>
      <c r="C90" s="24" t="s">
        <v>476</v>
      </c>
      <c r="D90" s="24" t="s">
        <v>144</v>
      </c>
      <c r="E90" s="177">
        <v>5114340.432</v>
      </c>
      <c r="F90" s="33">
        <v>1427461.051</v>
      </c>
      <c r="G90" s="33"/>
      <c r="H90" s="34" t="s">
        <v>54</v>
      </c>
      <c r="I90" s="35"/>
      <c r="J90" s="33"/>
      <c r="K90" s="34">
        <v>0.67</v>
      </c>
      <c r="L90" s="33">
        <f t="shared" si="32"/>
        <v>0</v>
      </c>
      <c r="M90" s="34">
        <v>0.33</v>
      </c>
      <c r="N90" s="33">
        <f t="shared" si="33"/>
        <v>0</v>
      </c>
      <c r="O90" s="34"/>
      <c r="P90" s="33">
        <f t="shared" si="25"/>
        <v>0</v>
      </c>
      <c r="Q90" s="34"/>
      <c r="R90" s="33">
        <f t="shared" si="26"/>
        <v>0</v>
      </c>
      <c r="S90" s="34">
        <f t="shared" si="27"/>
        <v>1</v>
      </c>
      <c r="T90" s="34">
        <v>0</v>
      </c>
      <c r="U90" s="33"/>
      <c r="V90" s="35">
        <v>50756</v>
      </c>
      <c r="W90" s="54"/>
      <c r="X90" s="36"/>
      <c r="Y90" s="152"/>
      <c r="Z90" s="57">
        <v>2038</v>
      </c>
      <c r="AA90" s="33"/>
      <c r="AB90" s="33"/>
      <c r="AC90" s="54"/>
      <c r="AD90" s="34">
        <v>0</v>
      </c>
      <c r="AE90" s="62">
        <f t="shared" si="22"/>
        <v>0</v>
      </c>
      <c r="AF90" s="34">
        <v>0</v>
      </c>
      <c r="AG90" s="33">
        <f t="shared" si="23"/>
        <v>0</v>
      </c>
      <c r="AH90" s="58">
        <v>0</v>
      </c>
      <c r="AI90" s="33">
        <f t="shared" si="34"/>
        <v>0</v>
      </c>
      <c r="AJ90" s="24"/>
      <c r="AK90" s="54">
        <f t="shared" si="35"/>
        <v>0</v>
      </c>
      <c r="AL90" s="34">
        <v>0</v>
      </c>
      <c r="AM90" s="59">
        <f t="shared" si="24"/>
        <v>0</v>
      </c>
      <c r="AN90" s="60"/>
      <c r="AO90" s="60"/>
      <c r="AP90" s="60"/>
      <c r="AQ90" s="60"/>
      <c r="AR90" s="60"/>
      <c r="AS90" s="60"/>
      <c r="AT90" s="60"/>
      <c r="AU90" s="60"/>
      <c r="AV90" s="49"/>
      <c r="AW90" s="49"/>
      <c r="AX90" s="49"/>
    </row>
    <row r="91" spans="1:50" ht="15" customHeight="1">
      <c r="A91" s="55" t="s">
        <v>496</v>
      </c>
      <c r="B91" s="22" t="s">
        <v>383</v>
      </c>
      <c r="C91" s="24" t="s">
        <v>476</v>
      </c>
      <c r="D91" s="24" t="s">
        <v>145</v>
      </c>
      <c r="E91" s="177">
        <v>5115586.9630000005</v>
      </c>
      <c r="F91" s="33">
        <v>1412360.0759999999</v>
      </c>
      <c r="G91" s="33"/>
      <c r="H91" s="34" t="s">
        <v>53</v>
      </c>
      <c r="I91" s="24"/>
      <c r="J91" s="33"/>
      <c r="K91" s="34">
        <v>0.67</v>
      </c>
      <c r="L91" s="33">
        <f t="shared" si="32"/>
        <v>0</v>
      </c>
      <c r="M91" s="34">
        <v>0.33</v>
      </c>
      <c r="N91" s="33">
        <f t="shared" si="33"/>
        <v>0</v>
      </c>
      <c r="O91" s="34"/>
      <c r="P91" s="33">
        <f t="shared" si="25"/>
        <v>0</v>
      </c>
      <c r="Q91" s="34"/>
      <c r="R91" s="33">
        <f t="shared" si="26"/>
        <v>0</v>
      </c>
      <c r="S91" s="34">
        <f t="shared" si="27"/>
        <v>1</v>
      </c>
      <c r="T91" s="34">
        <v>0</v>
      </c>
      <c r="U91" s="33"/>
      <c r="V91" s="35">
        <v>51294</v>
      </c>
      <c r="W91" s="54"/>
      <c r="X91" s="36"/>
      <c r="Y91" s="152"/>
      <c r="Z91" s="57">
        <v>2040</v>
      </c>
      <c r="AA91" s="33"/>
      <c r="AB91" s="33"/>
      <c r="AC91" s="54"/>
      <c r="AD91" s="34">
        <v>0</v>
      </c>
      <c r="AE91" s="62">
        <f t="shared" si="22"/>
        <v>0</v>
      </c>
      <c r="AF91" s="34">
        <v>0</v>
      </c>
      <c r="AG91" s="33">
        <f t="shared" si="23"/>
        <v>0</v>
      </c>
      <c r="AH91" s="58">
        <v>0</v>
      </c>
      <c r="AI91" s="33">
        <f t="shared" si="34"/>
        <v>0</v>
      </c>
      <c r="AJ91" s="24"/>
      <c r="AK91" s="54">
        <f t="shared" si="35"/>
        <v>0</v>
      </c>
      <c r="AL91" s="34">
        <v>0</v>
      </c>
      <c r="AM91" s="59">
        <f t="shared" si="24"/>
        <v>0</v>
      </c>
      <c r="AN91" s="61"/>
      <c r="AO91" s="60"/>
      <c r="AP91" s="60"/>
      <c r="AQ91" s="60"/>
      <c r="AR91" s="60"/>
      <c r="AS91" s="60"/>
      <c r="AT91" s="60"/>
      <c r="AU91" s="60"/>
      <c r="AV91" s="49"/>
      <c r="AW91" s="49"/>
      <c r="AX91" s="49"/>
    </row>
    <row r="92" spans="1:50" ht="15" customHeight="1">
      <c r="A92" s="55" t="s">
        <v>496</v>
      </c>
      <c r="B92" s="22" t="s">
        <v>383</v>
      </c>
      <c r="C92" s="24" t="s">
        <v>476</v>
      </c>
      <c r="D92" s="34" t="s">
        <v>146</v>
      </c>
      <c r="E92" s="177">
        <v>5123497.3140000002</v>
      </c>
      <c r="F92" s="33">
        <v>1397918.8570000001</v>
      </c>
      <c r="G92" s="33"/>
      <c r="H92" s="34" t="s">
        <v>54</v>
      </c>
      <c r="I92" s="56">
        <v>1265992</v>
      </c>
      <c r="J92" s="33">
        <v>130561</v>
      </c>
      <c r="K92" s="34">
        <v>0.67</v>
      </c>
      <c r="L92" s="33">
        <f t="shared" si="32"/>
        <v>848214.64</v>
      </c>
      <c r="M92" s="34">
        <v>0.33</v>
      </c>
      <c r="N92" s="33">
        <f t="shared" si="33"/>
        <v>417777.36000000004</v>
      </c>
      <c r="O92" s="34"/>
      <c r="P92" s="33">
        <f t="shared" si="25"/>
        <v>0</v>
      </c>
      <c r="Q92" s="34"/>
      <c r="R92" s="33">
        <f t="shared" si="26"/>
        <v>0</v>
      </c>
      <c r="S92" s="34">
        <f t="shared" si="27"/>
        <v>1</v>
      </c>
      <c r="T92" s="34">
        <v>0</v>
      </c>
      <c r="U92" s="33"/>
      <c r="V92" s="28">
        <v>51213</v>
      </c>
      <c r="W92" s="78"/>
      <c r="X92" s="36"/>
      <c r="Y92" s="152"/>
      <c r="Z92" s="57">
        <v>2040</v>
      </c>
      <c r="AA92" s="33"/>
      <c r="AB92" s="33"/>
      <c r="AC92" s="54"/>
      <c r="AD92" s="34">
        <v>0</v>
      </c>
      <c r="AE92" s="62">
        <f t="shared" si="22"/>
        <v>0</v>
      </c>
      <c r="AF92" s="34">
        <v>0</v>
      </c>
      <c r="AG92" s="33">
        <f t="shared" si="23"/>
        <v>0</v>
      </c>
      <c r="AH92" s="58">
        <v>0</v>
      </c>
      <c r="AI92" s="33">
        <f t="shared" si="34"/>
        <v>0</v>
      </c>
      <c r="AJ92" s="24"/>
      <c r="AK92" s="54">
        <f t="shared" si="35"/>
        <v>0</v>
      </c>
      <c r="AL92" s="34">
        <v>0</v>
      </c>
      <c r="AM92" s="59">
        <f t="shared" si="24"/>
        <v>0</v>
      </c>
      <c r="AN92" s="67"/>
      <c r="AO92" s="67"/>
      <c r="AP92" s="67"/>
      <c r="AQ92" s="60"/>
      <c r="AR92" s="67"/>
      <c r="AS92" s="60"/>
      <c r="AT92" s="60"/>
      <c r="AU92" s="60"/>
      <c r="AV92" s="49"/>
      <c r="AW92" s="49"/>
      <c r="AX92" s="49"/>
    </row>
    <row r="93" spans="1:50" ht="15" customHeight="1">
      <c r="A93" s="55" t="s">
        <v>496</v>
      </c>
      <c r="B93" s="22" t="s">
        <v>383</v>
      </c>
      <c r="C93" s="24" t="s">
        <v>476</v>
      </c>
      <c r="D93" s="95" t="s">
        <v>147</v>
      </c>
      <c r="E93" s="177">
        <v>5094579.5539999995</v>
      </c>
      <c r="F93" s="33">
        <v>1369429.6089999999</v>
      </c>
      <c r="G93" s="33"/>
      <c r="H93" s="34" t="s">
        <v>54</v>
      </c>
      <c r="I93" s="24">
        <v>22446</v>
      </c>
      <c r="J93" s="33">
        <v>22446</v>
      </c>
      <c r="K93" s="34">
        <v>0.67</v>
      </c>
      <c r="L93" s="33">
        <f t="shared" si="32"/>
        <v>15038.820000000002</v>
      </c>
      <c r="M93" s="34">
        <v>0.33</v>
      </c>
      <c r="N93" s="33">
        <f t="shared" si="33"/>
        <v>7407.18</v>
      </c>
      <c r="O93" s="34"/>
      <c r="P93" s="33">
        <f t="shared" si="25"/>
        <v>0</v>
      </c>
      <c r="Q93" s="34"/>
      <c r="R93" s="33">
        <f t="shared" si="26"/>
        <v>0</v>
      </c>
      <c r="S93" s="34">
        <f t="shared" si="27"/>
        <v>1</v>
      </c>
      <c r="T93" s="34">
        <v>0</v>
      </c>
      <c r="U93" s="33"/>
      <c r="V93" s="28">
        <v>44020</v>
      </c>
      <c r="W93" s="54"/>
      <c r="X93" s="36"/>
      <c r="Y93" s="152"/>
      <c r="Z93" s="57">
        <v>2020</v>
      </c>
      <c r="AA93" s="33"/>
      <c r="AB93" s="33"/>
      <c r="AC93" s="54"/>
      <c r="AD93" s="34">
        <v>0</v>
      </c>
      <c r="AE93" s="62">
        <f t="shared" si="22"/>
        <v>0</v>
      </c>
      <c r="AF93" s="34">
        <v>0</v>
      </c>
      <c r="AG93" s="33">
        <f t="shared" si="23"/>
        <v>0</v>
      </c>
      <c r="AH93" s="58">
        <v>0</v>
      </c>
      <c r="AI93" s="33">
        <f t="shared" si="34"/>
        <v>0</v>
      </c>
      <c r="AJ93" s="24"/>
      <c r="AK93" s="54">
        <f t="shared" si="35"/>
        <v>0</v>
      </c>
      <c r="AL93" s="34">
        <v>0</v>
      </c>
      <c r="AM93" s="59">
        <f t="shared" si="24"/>
        <v>0</v>
      </c>
      <c r="AN93" s="67"/>
      <c r="AO93" s="67"/>
      <c r="AP93" s="67"/>
      <c r="AQ93" s="60"/>
      <c r="AR93" s="60"/>
      <c r="AS93" s="60"/>
      <c r="AT93" s="60"/>
      <c r="AU93" s="60"/>
      <c r="AV93" s="49"/>
      <c r="AW93" s="49"/>
      <c r="AX93" s="49"/>
    </row>
    <row r="94" spans="1:50" ht="15" customHeight="1">
      <c r="A94" s="55" t="s">
        <v>495</v>
      </c>
      <c r="B94" s="22" t="s">
        <v>486</v>
      </c>
      <c r="C94" s="24" t="s">
        <v>476</v>
      </c>
      <c r="D94" s="76" t="s">
        <v>139</v>
      </c>
      <c r="E94" s="176">
        <v>5402250</v>
      </c>
      <c r="F94" s="27">
        <v>1689081</v>
      </c>
      <c r="G94" s="65" t="s">
        <v>408</v>
      </c>
      <c r="H94" s="24" t="s">
        <v>37</v>
      </c>
      <c r="I94" s="82">
        <v>5689250</v>
      </c>
      <c r="J94" s="33">
        <v>6037465</v>
      </c>
      <c r="K94" s="34">
        <v>0</v>
      </c>
      <c r="L94" s="33">
        <f t="shared" si="32"/>
        <v>0</v>
      </c>
      <c r="M94" s="34">
        <v>0.3</v>
      </c>
      <c r="N94" s="33">
        <f t="shared" si="33"/>
        <v>1706775</v>
      </c>
      <c r="O94" s="34">
        <v>0.7</v>
      </c>
      <c r="P94" s="33">
        <f t="shared" si="25"/>
        <v>3982474.9999999995</v>
      </c>
      <c r="Q94" s="34">
        <v>0</v>
      </c>
      <c r="R94" s="33">
        <f t="shared" si="26"/>
        <v>0</v>
      </c>
      <c r="S94" s="34">
        <f t="shared" si="27"/>
        <v>1</v>
      </c>
      <c r="T94" s="34">
        <v>0.16</v>
      </c>
      <c r="U94" s="33"/>
      <c r="V94" s="24">
        <v>2049</v>
      </c>
      <c r="W94" s="54"/>
      <c r="X94" s="24" t="s">
        <v>143</v>
      </c>
      <c r="Y94" s="22"/>
      <c r="Z94" s="57">
        <v>2029</v>
      </c>
      <c r="AA94" s="33"/>
      <c r="AB94" s="33"/>
      <c r="AC94" s="54"/>
      <c r="AD94" s="34"/>
      <c r="AE94" s="62">
        <f t="shared" si="22"/>
        <v>0</v>
      </c>
      <c r="AF94" s="34"/>
      <c r="AG94" s="33">
        <f t="shared" si="23"/>
        <v>0</v>
      </c>
      <c r="AH94" s="58"/>
      <c r="AI94" s="33">
        <f t="shared" si="34"/>
        <v>0</v>
      </c>
      <c r="AJ94" s="24"/>
      <c r="AK94" s="54">
        <f t="shared" si="35"/>
        <v>0</v>
      </c>
      <c r="AL94" s="34"/>
      <c r="AM94" s="59">
        <f t="shared" si="24"/>
        <v>0</v>
      </c>
      <c r="AN94" s="61" t="s">
        <v>413</v>
      </c>
      <c r="AO94" s="60"/>
      <c r="AP94" s="60"/>
      <c r="AQ94" s="60"/>
      <c r="AR94" s="60"/>
      <c r="AS94" s="60"/>
      <c r="AT94" s="60"/>
      <c r="AU94" s="60"/>
      <c r="AV94" s="49"/>
      <c r="AW94" s="49"/>
      <c r="AX94" s="49"/>
    </row>
    <row r="95" spans="1:50" ht="15" customHeight="1">
      <c r="A95" s="55" t="s">
        <v>495</v>
      </c>
      <c r="B95" s="22" t="s">
        <v>486</v>
      </c>
      <c r="C95" s="24" t="s">
        <v>476</v>
      </c>
      <c r="D95" s="24" t="s">
        <v>140</v>
      </c>
      <c r="E95" s="176">
        <v>5428410</v>
      </c>
      <c r="F95" s="27">
        <v>1684038</v>
      </c>
      <c r="G95" s="65" t="s">
        <v>408</v>
      </c>
      <c r="H95" s="24" t="s">
        <v>37</v>
      </c>
      <c r="I95" s="82">
        <v>837860</v>
      </c>
      <c r="J95" s="33">
        <v>818000</v>
      </c>
      <c r="K95" s="34">
        <v>0</v>
      </c>
      <c r="L95" s="33">
        <f t="shared" si="32"/>
        <v>0</v>
      </c>
      <c r="M95" s="34">
        <v>0</v>
      </c>
      <c r="N95" s="33">
        <f t="shared" si="33"/>
        <v>0</v>
      </c>
      <c r="O95" s="34">
        <v>1</v>
      </c>
      <c r="P95" s="33">
        <f t="shared" si="25"/>
        <v>837860</v>
      </c>
      <c r="Q95" s="34">
        <v>0</v>
      </c>
      <c r="R95" s="33">
        <f t="shared" si="26"/>
        <v>0</v>
      </c>
      <c r="S95" s="34">
        <f t="shared" si="27"/>
        <v>1</v>
      </c>
      <c r="T95" s="34">
        <v>0.15</v>
      </c>
      <c r="U95" s="33"/>
      <c r="V95" s="35">
        <v>48395</v>
      </c>
      <c r="W95" s="143">
        <v>48395</v>
      </c>
      <c r="X95" s="35">
        <v>53479</v>
      </c>
      <c r="Y95" s="72"/>
      <c r="Z95" s="57">
        <v>2046</v>
      </c>
      <c r="AA95" s="33"/>
      <c r="AB95" s="33"/>
      <c r="AC95" s="54"/>
      <c r="AD95" s="34"/>
      <c r="AE95" s="62">
        <f t="shared" si="22"/>
        <v>0</v>
      </c>
      <c r="AF95" s="34"/>
      <c r="AG95" s="33">
        <f t="shared" si="23"/>
        <v>0</v>
      </c>
      <c r="AH95" s="58"/>
      <c r="AI95" s="33">
        <f t="shared" si="34"/>
        <v>0</v>
      </c>
      <c r="AJ95" s="24"/>
      <c r="AK95" s="54">
        <f t="shared" si="35"/>
        <v>0</v>
      </c>
      <c r="AL95" s="34"/>
      <c r="AM95" s="59">
        <f t="shared" si="24"/>
        <v>0</v>
      </c>
      <c r="AN95" s="60"/>
      <c r="AO95" s="83"/>
      <c r="AP95" s="83"/>
      <c r="AQ95" s="60"/>
      <c r="AR95" s="60"/>
      <c r="AS95" s="60"/>
      <c r="AT95" s="60"/>
      <c r="AU95" s="60"/>
      <c r="AV95" s="49"/>
      <c r="AW95" s="49"/>
      <c r="AX95" s="49"/>
    </row>
    <row r="96" spans="1:50" ht="15" customHeight="1">
      <c r="A96" s="55" t="s">
        <v>495</v>
      </c>
      <c r="B96" s="22" t="s">
        <v>486</v>
      </c>
      <c r="C96" s="24" t="s">
        <v>476</v>
      </c>
      <c r="D96" s="24" t="s">
        <v>141</v>
      </c>
      <c r="E96" s="176">
        <v>5386465</v>
      </c>
      <c r="F96" s="27">
        <v>16901449</v>
      </c>
      <c r="G96" s="65" t="s">
        <v>408</v>
      </c>
      <c r="H96" s="24" t="s">
        <v>54</v>
      </c>
      <c r="I96" s="82">
        <v>32120</v>
      </c>
      <c r="J96" s="33">
        <v>108000</v>
      </c>
      <c r="K96" s="34">
        <v>1</v>
      </c>
      <c r="L96" s="33">
        <f t="shared" si="32"/>
        <v>32120</v>
      </c>
      <c r="M96" s="34">
        <v>0</v>
      </c>
      <c r="N96" s="33">
        <f t="shared" si="33"/>
        <v>0</v>
      </c>
      <c r="O96" s="34">
        <v>0</v>
      </c>
      <c r="P96" s="33">
        <f t="shared" si="25"/>
        <v>0</v>
      </c>
      <c r="Q96" s="34">
        <v>0</v>
      </c>
      <c r="R96" s="33">
        <f t="shared" si="26"/>
        <v>0</v>
      </c>
      <c r="S96" s="34">
        <f t="shared" si="27"/>
        <v>1</v>
      </c>
      <c r="T96" s="34">
        <v>0</v>
      </c>
      <c r="U96" s="33"/>
      <c r="V96" s="24"/>
      <c r="W96" s="54"/>
      <c r="X96" s="35">
        <v>42947</v>
      </c>
      <c r="Y96" s="72"/>
      <c r="Z96" s="57">
        <v>2017</v>
      </c>
      <c r="AA96" s="33"/>
      <c r="AB96" s="33"/>
      <c r="AC96" s="54"/>
      <c r="AD96" s="34"/>
      <c r="AE96" s="62">
        <f t="shared" si="22"/>
        <v>0</v>
      </c>
      <c r="AF96" s="34">
        <v>1</v>
      </c>
      <c r="AG96" s="33">
        <f t="shared" si="23"/>
        <v>0</v>
      </c>
      <c r="AH96" s="58"/>
      <c r="AI96" s="33">
        <f t="shared" si="34"/>
        <v>0</v>
      </c>
      <c r="AJ96" s="24"/>
      <c r="AK96" s="54">
        <f t="shared" si="35"/>
        <v>0</v>
      </c>
      <c r="AL96" s="34"/>
      <c r="AM96" s="59">
        <f t="shared" si="24"/>
        <v>0</v>
      </c>
      <c r="AN96" s="60"/>
      <c r="AO96" s="60"/>
      <c r="AP96" s="60"/>
      <c r="AQ96" s="60"/>
      <c r="AR96" s="60"/>
      <c r="AS96" s="60"/>
      <c r="AT96" s="60"/>
      <c r="AU96" s="60"/>
      <c r="AV96" s="49"/>
      <c r="AW96" s="49"/>
      <c r="AX96" s="49"/>
    </row>
    <row r="97" spans="1:56" ht="15" customHeight="1">
      <c r="A97" s="55" t="s">
        <v>495</v>
      </c>
      <c r="B97" s="22" t="s">
        <v>486</v>
      </c>
      <c r="C97" s="24" t="s">
        <v>476</v>
      </c>
      <c r="D97" s="24" t="s">
        <v>142</v>
      </c>
      <c r="E97" s="176">
        <v>5428836</v>
      </c>
      <c r="F97" s="27">
        <v>1665953</v>
      </c>
      <c r="G97" s="65" t="s">
        <v>408</v>
      </c>
      <c r="H97" s="24" t="s">
        <v>54</v>
      </c>
      <c r="I97" s="82">
        <v>99528</v>
      </c>
      <c r="J97" s="33">
        <v>117000</v>
      </c>
      <c r="K97" s="34">
        <v>0</v>
      </c>
      <c r="L97" s="33">
        <f t="shared" si="32"/>
        <v>0</v>
      </c>
      <c r="M97" s="34">
        <v>0</v>
      </c>
      <c r="N97" s="33">
        <f t="shared" si="33"/>
        <v>0</v>
      </c>
      <c r="O97" s="34">
        <v>1</v>
      </c>
      <c r="P97" s="33">
        <f t="shared" si="25"/>
        <v>99528</v>
      </c>
      <c r="Q97" s="34">
        <v>0</v>
      </c>
      <c r="R97" s="33">
        <f t="shared" si="26"/>
        <v>0</v>
      </c>
      <c r="S97" s="34">
        <f t="shared" si="27"/>
        <v>1</v>
      </c>
      <c r="T97" s="34">
        <v>0.1</v>
      </c>
      <c r="U97" s="33"/>
      <c r="V97" s="24"/>
      <c r="W97" s="54"/>
      <c r="X97" s="35">
        <v>43251</v>
      </c>
      <c r="Y97" s="72"/>
      <c r="Z97" s="57">
        <v>2018</v>
      </c>
      <c r="AA97" s="33"/>
      <c r="AB97" s="33"/>
      <c r="AC97" s="54"/>
      <c r="AD97" s="34"/>
      <c r="AE97" s="62">
        <f t="shared" si="22"/>
        <v>0</v>
      </c>
      <c r="AF97" s="34"/>
      <c r="AG97" s="33">
        <f t="shared" si="23"/>
        <v>0</v>
      </c>
      <c r="AH97" s="58"/>
      <c r="AI97" s="33">
        <f t="shared" si="34"/>
        <v>0</v>
      </c>
      <c r="AJ97" s="24"/>
      <c r="AK97" s="54">
        <f t="shared" si="35"/>
        <v>0</v>
      </c>
      <c r="AL97" s="34"/>
      <c r="AM97" s="59">
        <f t="shared" si="24"/>
        <v>0</v>
      </c>
      <c r="AN97" s="83"/>
      <c r="AO97" s="83"/>
      <c r="AP97" s="83"/>
      <c r="AQ97" s="60"/>
      <c r="AR97" s="60"/>
      <c r="AS97" s="60"/>
      <c r="AT97" s="60"/>
      <c r="AU97" s="60"/>
      <c r="AV97" s="49"/>
      <c r="AW97" s="49"/>
      <c r="AX97" s="49"/>
    </row>
    <row r="98" spans="1:56" ht="15" customHeight="1">
      <c r="A98" s="55" t="s">
        <v>382</v>
      </c>
      <c r="B98" s="22" t="s">
        <v>383</v>
      </c>
      <c r="C98" s="24" t="s">
        <v>474</v>
      </c>
      <c r="D98" s="24" t="s">
        <v>384</v>
      </c>
      <c r="E98" s="177">
        <v>5810560</v>
      </c>
      <c r="F98" s="33">
        <v>1847300</v>
      </c>
      <c r="G98" s="33" t="s">
        <v>393</v>
      </c>
      <c r="H98" s="24" t="s">
        <v>53</v>
      </c>
      <c r="I98" s="24"/>
      <c r="J98" s="33">
        <v>641000</v>
      </c>
      <c r="K98" s="34">
        <v>1</v>
      </c>
      <c r="L98" s="33">
        <f>$I98*K98</f>
        <v>0</v>
      </c>
      <c r="M98" s="34"/>
      <c r="N98" s="33">
        <f>$I98*M98</f>
        <v>0</v>
      </c>
      <c r="O98" s="34"/>
      <c r="P98" s="33">
        <f t="shared" si="25"/>
        <v>0</v>
      </c>
      <c r="Q98" s="34"/>
      <c r="R98" s="33">
        <f t="shared" si="26"/>
        <v>0</v>
      </c>
      <c r="S98" s="34">
        <f t="shared" si="27"/>
        <v>1</v>
      </c>
      <c r="T98" s="34">
        <v>0</v>
      </c>
      <c r="U98" s="33">
        <v>730000</v>
      </c>
      <c r="V98" s="35">
        <v>45451</v>
      </c>
      <c r="W98" s="143"/>
      <c r="X98" s="35">
        <v>45451</v>
      </c>
      <c r="Y98" s="22"/>
      <c r="Z98" s="57"/>
      <c r="AA98" s="33"/>
      <c r="AB98" s="33" t="s">
        <v>39</v>
      </c>
      <c r="AC98" s="54"/>
      <c r="AD98" s="34"/>
      <c r="AE98" s="62">
        <f t="shared" si="22"/>
        <v>0</v>
      </c>
      <c r="AF98" s="34"/>
      <c r="AG98" s="33"/>
      <c r="AH98" s="58"/>
      <c r="AI98" s="33"/>
      <c r="AJ98" s="24"/>
      <c r="AK98" s="54"/>
      <c r="AL98" s="34"/>
      <c r="AM98" s="59">
        <f t="shared" si="24"/>
        <v>0</v>
      </c>
      <c r="AN98" s="60"/>
      <c r="AO98" s="60"/>
      <c r="AP98" s="60"/>
      <c r="AQ98" s="60"/>
      <c r="AR98" s="60"/>
      <c r="AS98" s="60"/>
      <c r="AT98" s="60"/>
      <c r="AU98" s="60"/>
      <c r="AV98" s="49"/>
      <c r="AW98" s="49"/>
      <c r="AX98" s="49"/>
    </row>
    <row r="99" spans="1:56" ht="15" customHeight="1">
      <c r="A99" s="55" t="s">
        <v>382</v>
      </c>
      <c r="B99" s="22" t="s">
        <v>383</v>
      </c>
      <c r="C99" s="24" t="s">
        <v>474</v>
      </c>
      <c r="D99" s="24" t="s">
        <v>385</v>
      </c>
      <c r="E99" s="177">
        <v>5829640</v>
      </c>
      <c r="F99" s="33">
        <v>1851960</v>
      </c>
      <c r="G99" s="33" t="s">
        <v>393</v>
      </c>
      <c r="H99" s="24" t="s">
        <v>53</v>
      </c>
      <c r="I99" s="24"/>
      <c r="J99" s="33">
        <v>1529000</v>
      </c>
      <c r="K99" s="34">
        <v>1</v>
      </c>
      <c r="L99" s="33">
        <f>$I99*K99</f>
        <v>0</v>
      </c>
      <c r="M99" s="34"/>
      <c r="N99" s="33">
        <f>$I99*M99</f>
        <v>0</v>
      </c>
      <c r="O99" s="34"/>
      <c r="P99" s="33">
        <f t="shared" si="25"/>
        <v>0</v>
      </c>
      <c r="Q99" s="34"/>
      <c r="R99" s="33">
        <f t="shared" si="26"/>
        <v>0</v>
      </c>
      <c r="S99" s="34">
        <f t="shared" si="27"/>
        <v>1</v>
      </c>
      <c r="T99" s="34">
        <v>0.5</v>
      </c>
      <c r="U99" s="33">
        <v>2920000</v>
      </c>
      <c r="V99" s="35">
        <v>45643</v>
      </c>
      <c r="W99" s="143">
        <v>43070</v>
      </c>
      <c r="X99" s="35">
        <v>45643</v>
      </c>
      <c r="Y99" s="22"/>
      <c r="Z99" s="57"/>
      <c r="AA99" s="33"/>
      <c r="AB99" s="33">
        <v>438</v>
      </c>
      <c r="AC99" s="54"/>
      <c r="AD99" s="34"/>
      <c r="AE99" s="62">
        <f t="shared" si="22"/>
        <v>0</v>
      </c>
      <c r="AF99" s="34"/>
      <c r="AG99" s="33"/>
      <c r="AH99" s="58"/>
      <c r="AI99" s="33"/>
      <c r="AJ99" s="24" t="s">
        <v>386</v>
      </c>
      <c r="AK99" s="54"/>
      <c r="AL99" s="34">
        <v>1</v>
      </c>
      <c r="AM99" s="59">
        <f t="shared" si="24"/>
        <v>0</v>
      </c>
      <c r="AN99" s="141" t="s">
        <v>386</v>
      </c>
      <c r="AO99" s="60"/>
      <c r="AP99" s="60"/>
      <c r="AQ99" s="60"/>
      <c r="AR99" s="60"/>
      <c r="AS99" s="60"/>
      <c r="AT99" s="60"/>
      <c r="AU99" s="60"/>
      <c r="AV99" s="49"/>
      <c r="AW99" s="49"/>
      <c r="AX99" s="49"/>
    </row>
    <row r="100" spans="1:56" ht="15" customHeight="1">
      <c r="A100" s="55" t="s">
        <v>382</v>
      </c>
      <c r="B100" s="22" t="s">
        <v>383</v>
      </c>
      <c r="C100" s="24" t="s">
        <v>474</v>
      </c>
      <c r="D100" s="24" t="s">
        <v>387</v>
      </c>
      <c r="E100" s="177">
        <v>5843995</v>
      </c>
      <c r="F100" s="33">
        <v>1837850</v>
      </c>
      <c r="G100" s="33" t="s">
        <v>393</v>
      </c>
      <c r="H100" s="24" t="s">
        <v>53</v>
      </c>
      <c r="I100" s="24"/>
      <c r="J100" s="33">
        <v>693000</v>
      </c>
      <c r="K100" s="34">
        <v>1</v>
      </c>
      <c r="L100" s="33">
        <f>$I100*K100</f>
        <v>0</v>
      </c>
      <c r="M100" s="34"/>
      <c r="N100" s="33">
        <f>$I100*M100</f>
        <v>0</v>
      </c>
      <c r="O100" s="34"/>
      <c r="P100" s="33">
        <f t="shared" si="25"/>
        <v>0</v>
      </c>
      <c r="Q100" s="34"/>
      <c r="R100" s="33">
        <f t="shared" si="26"/>
        <v>0</v>
      </c>
      <c r="S100" s="34">
        <f t="shared" si="27"/>
        <v>1</v>
      </c>
      <c r="T100" s="34">
        <v>0.05</v>
      </c>
      <c r="U100" s="33" t="s">
        <v>388</v>
      </c>
      <c r="V100" s="24"/>
      <c r="W100" s="143"/>
      <c r="X100" s="35">
        <v>13022</v>
      </c>
      <c r="Y100" s="22"/>
      <c r="Z100" s="57"/>
      <c r="AA100" s="33"/>
      <c r="AB100" s="33">
        <v>54</v>
      </c>
      <c r="AC100" s="54"/>
      <c r="AD100" s="34"/>
      <c r="AE100" s="62">
        <f t="shared" si="22"/>
        <v>0</v>
      </c>
      <c r="AF100" s="34"/>
      <c r="AG100" s="33"/>
      <c r="AH100" s="58"/>
      <c r="AI100" s="33"/>
      <c r="AJ100" s="24" t="s">
        <v>389</v>
      </c>
      <c r="AK100" s="54"/>
      <c r="AL100" s="34">
        <v>1</v>
      </c>
      <c r="AM100" s="59">
        <f t="shared" si="24"/>
        <v>0</v>
      </c>
      <c r="AN100" s="141" t="s">
        <v>389</v>
      </c>
      <c r="AO100" s="60"/>
      <c r="AP100" s="60"/>
      <c r="AQ100" s="60"/>
      <c r="AR100" s="60"/>
      <c r="AS100" s="60"/>
      <c r="AT100" s="60"/>
      <c r="AU100" s="60"/>
      <c r="AV100" s="49"/>
      <c r="AW100" s="49"/>
      <c r="AX100" s="49"/>
    </row>
    <row r="101" spans="1:56" ht="15" customHeight="1">
      <c r="A101" s="55" t="s">
        <v>382</v>
      </c>
      <c r="B101" s="22" t="s">
        <v>383</v>
      </c>
      <c r="C101" s="24" t="s">
        <v>474</v>
      </c>
      <c r="D101" s="24" t="s">
        <v>185</v>
      </c>
      <c r="E101" s="177">
        <v>5847340</v>
      </c>
      <c r="F101" s="33">
        <v>1820720</v>
      </c>
      <c r="G101" s="33" t="s">
        <v>393</v>
      </c>
      <c r="H101" s="24" t="s">
        <v>53</v>
      </c>
      <c r="I101" s="24"/>
      <c r="J101" s="33">
        <v>19500</v>
      </c>
      <c r="K101" s="34">
        <v>1</v>
      </c>
      <c r="L101" s="33">
        <f>$I101*K101</f>
        <v>0</v>
      </c>
      <c r="M101" s="34"/>
      <c r="N101" s="33">
        <f>$I101*M101</f>
        <v>0</v>
      </c>
      <c r="O101" s="34"/>
      <c r="P101" s="33">
        <f t="shared" si="25"/>
        <v>0</v>
      </c>
      <c r="Q101" s="34"/>
      <c r="R101" s="33">
        <f t="shared" si="26"/>
        <v>0</v>
      </c>
      <c r="S101" s="34">
        <f t="shared" si="27"/>
        <v>1</v>
      </c>
      <c r="T101" s="34">
        <v>0</v>
      </c>
      <c r="U101" s="33">
        <v>25500</v>
      </c>
      <c r="V101" s="24"/>
      <c r="W101" s="143"/>
      <c r="X101" s="35">
        <v>46965</v>
      </c>
      <c r="Y101" s="22"/>
      <c r="Z101" s="57"/>
      <c r="AA101" s="33"/>
      <c r="AB101" s="33">
        <v>9</v>
      </c>
      <c r="AC101" s="54"/>
      <c r="AD101" s="34"/>
      <c r="AE101" s="62">
        <f t="shared" si="22"/>
        <v>0</v>
      </c>
      <c r="AF101" s="34"/>
      <c r="AG101" s="33"/>
      <c r="AH101" s="58"/>
      <c r="AI101" s="33"/>
      <c r="AJ101" s="24" t="s">
        <v>390</v>
      </c>
      <c r="AK101" s="54"/>
      <c r="AL101" s="34">
        <v>1</v>
      </c>
      <c r="AM101" s="59">
        <f t="shared" si="24"/>
        <v>0</v>
      </c>
      <c r="AN101" s="141" t="s">
        <v>390</v>
      </c>
      <c r="AO101" s="60"/>
      <c r="AP101" s="60"/>
      <c r="AQ101" s="60"/>
      <c r="AR101" s="60"/>
      <c r="AS101" s="60"/>
      <c r="AT101" s="60"/>
      <c r="AU101" s="60"/>
      <c r="AV101" s="49"/>
      <c r="AW101" s="49"/>
      <c r="AX101" s="49"/>
    </row>
    <row r="102" spans="1:56" ht="15" customHeight="1">
      <c r="A102" s="55" t="s">
        <v>382</v>
      </c>
      <c r="B102" s="22" t="s">
        <v>383</v>
      </c>
      <c r="C102" s="24" t="s">
        <v>474</v>
      </c>
      <c r="D102" s="24" t="s">
        <v>391</v>
      </c>
      <c r="E102" s="177">
        <v>5838000</v>
      </c>
      <c r="F102" s="33">
        <v>1835445</v>
      </c>
      <c r="G102" s="33" t="s">
        <v>393</v>
      </c>
      <c r="H102" s="24" t="s">
        <v>53</v>
      </c>
      <c r="I102" s="24"/>
      <c r="J102" s="33">
        <v>9000</v>
      </c>
      <c r="K102" s="34">
        <v>0</v>
      </c>
      <c r="L102" s="33">
        <f>$I102*K102</f>
        <v>0</v>
      </c>
      <c r="M102" s="34">
        <v>1</v>
      </c>
      <c r="N102" s="33">
        <f>$I102*M102</f>
        <v>0</v>
      </c>
      <c r="O102" s="34"/>
      <c r="P102" s="33">
        <f t="shared" si="25"/>
        <v>0</v>
      </c>
      <c r="Q102" s="34"/>
      <c r="R102" s="33">
        <f t="shared" si="26"/>
        <v>0</v>
      </c>
      <c r="S102" s="34">
        <f t="shared" si="27"/>
        <v>1</v>
      </c>
      <c r="T102" s="34">
        <v>0</v>
      </c>
      <c r="U102" s="33">
        <v>25500</v>
      </c>
      <c r="V102" s="24"/>
      <c r="W102" s="143"/>
      <c r="X102" s="35">
        <v>46204</v>
      </c>
      <c r="Y102" s="22"/>
      <c r="Z102" s="57"/>
      <c r="AA102" s="33"/>
      <c r="AB102" s="33" t="s">
        <v>39</v>
      </c>
      <c r="AC102" s="54"/>
      <c r="AD102" s="34"/>
      <c r="AE102" s="62">
        <f t="shared" si="22"/>
        <v>0</v>
      </c>
      <c r="AF102" s="34"/>
      <c r="AG102" s="33"/>
      <c r="AH102" s="58"/>
      <c r="AI102" s="33"/>
      <c r="AJ102" s="24"/>
      <c r="AK102" s="54"/>
      <c r="AL102" s="34"/>
      <c r="AM102" s="59">
        <f t="shared" si="24"/>
        <v>0</v>
      </c>
      <c r="AN102" s="60"/>
      <c r="AO102" s="60"/>
      <c r="AP102" s="60"/>
      <c r="AQ102" s="60"/>
      <c r="AR102" s="60"/>
      <c r="AS102" s="60"/>
      <c r="AT102" s="60"/>
      <c r="AU102" s="60"/>
      <c r="AV102" s="49"/>
      <c r="AW102" s="49"/>
      <c r="AX102" s="49"/>
    </row>
    <row r="103" spans="1:56" s="49" customFormat="1" ht="15" customHeight="1">
      <c r="A103" s="84" t="s">
        <v>325</v>
      </c>
      <c r="B103" s="85" t="s">
        <v>486</v>
      </c>
      <c r="C103" s="24" t="s">
        <v>474</v>
      </c>
      <c r="D103" s="33" t="s">
        <v>326</v>
      </c>
      <c r="E103" s="177">
        <v>5428297.7699999996</v>
      </c>
      <c r="F103" s="33">
        <v>1614708.03</v>
      </c>
      <c r="G103" s="33" t="s">
        <v>393</v>
      </c>
      <c r="H103" s="33" t="s">
        <v>37</v>
      </c>
      <c r="I103" s="33"/>
      <c r="J103" s="33">
        <v>5804595</v>
      </c>
      <c r="K103" s="34">
        <v>0</v>
      </c>
      <c r="L103" s="33">
        <f t="shared" ref="L103:L104" si="36">$I103*K103</f>
        <v>0</v>
      </c>
      <c r="M103" s="34">
        <v>0</v>
      </c>
      <c r="N103" s="33">
        <f t="shared" ref="N103:N104" si="37">$I103*M103</f>
        <v>0</v>
      </c>
      <c r="O103" s="34"/>
      <c r="P103" s="33">
        <f t="shared" si="25"/>
        <v>0</v>
      </c>
      <c r="Q103" s="34">
        <v>1</v>
      </c>
      <c r="R103" s="33">
        <f t="shared" si="26"/>
        <v>0</v>
      </c>
      <c r="S103" s="34">
        <f t="shared" si="27"/>
        <v>1</v>
      </c>
      <c r="T103" s="34">
        <v>0.22</v>
      </c>
      <c r="U103" s="33">
        <f>24890*365</f>
        <v>9084850</v>
      </c>
      <c r="V103" s="35">
        <v>43132</v>
      </c>
      <c r="W103" s="143">
        <v>44593</v>
      </c>
      <c r="X103" s="35">
        <v>43252</v>
      </c>
      <c r="Y103" s="72"/>
      <c r="Z103" s="57">
        <v>2018</v>
      </c>
      <c r="AA103" s="33"/>
      <c r="AB103" s="33">
        <v>29700</v>
      </c>
      <c r="AC103" s="86"/>
      <c r="AD103" s="34">
        <v>0</v>
      </c>
      <c r="AE103" s="62">
        <f t="shared" si="22"/>
        <v>0</v>
      </c>
      <c r="AF103" s="34">
        <v>1</v>
      </c>
      <c r="AG103" s="33">
        <f>AA103*AF103</f>
        <v>0</v>
      </c>
      <c r="AH103" s="58">
        <v>0</v>
      </c>
      <c r="AI103" s="33">
        <v>0</v>
      </c>
      <c r="AJ103" s="33"/>
      <c r="AK103" s="86"/>
      <c r="AL103" s="34"/>
      <c r="AM103" s="59">
        <f t="shared" si="24"/>
        <v>0</v>
      </c>
      <c r="AN103" s="85"/>
      <c r="AO103" s="85"/>
      <c r="AP103" s="85"/>
      <c r="AQ103" s="85"/>
      <c r="AR103" s="85"/>
      <c r="AS103" s="85"/>
      <c r="AT103" s="85"/>
      <c r="AU103" s="85"/>
      <c r="AV103" s="50"/>
      <c r="AW103" s="50"/>
      <c r="AX103" s="50"/>
      <c r="AY103" s="50"/>
      <c r="AZ103" s="50"/>
      <c r="BA103" s="50"/>
      <c r="BB103" s="50"/>
      <c r="BC103" s="50"/>
      <c r="BD103" s="50"/>
    </row>
    <row r="104" spans="1:56" s="211" customFormat="1" ht="15" customHeight="1">
      <c r="A104" s="84" t="s">
        <v>325</v>
      </c>
      <c r="B104" s="85" t="s">
        <v>486</v>
      </c>
      <c r="C104" s="24" t="s">
        <v>476</v>
      </c>
      <c r="D104" s="33" t="s">
        <v>327</v>
      </c>
      <c r="E104" s="176">
        <v>5438621.1299999999</v>
      </c>
      <c r="F104" s="27">
        <v>1627530.94</v>
      </c>
      <c r="G104" s="52" t="s">
        <v>443</v>
      </c>
      <c r="H104" s="52" t="s">
        <v>54</v>
      </c>
      <c r="I104" s="86">
        <v>2400000</v>
      </c>
      <c r="J104" s="66">
        <v>2920000</v>
      </c>
      <c r="K104" s="158">
        <v>0</v>
      </c>
      <c r="L104" s="33">
        <f t="shared" si="36"/>
        <v>0</v>
      </c>
      <c r="M104" s="159">
        <v>0</v>
      </c>
      <c r="N104" s="33">
        <f t="shared" si="37"/>
        <v>0</v>
      </c>
      <c r="O104" s="34">
        <v>0</v>
      </c>
      <c r="P104" s="33">
        <v>0</v>
      </c>
      <c r="Q104" s="34">
        <v>1</v>
      </c>
      <c r="R104" s="33">
        <f t="shared" si="26"/>
        <v>2400000</v>
      </c>
      <c r="S104" s="34">
        <f t="shared" si="27"/>
        <v>1</v>
      </c>
      <c r="T104" s="24">
        <v>0.1</v>
      </c>
      <c r="U104" s="24">
        <v>4000000</v>
      </c>
      <c r="V104" s="88">
        <v>45627</v>
      </c>
      <c r="W104" s="54">
        <v>2022</v>
      </c>
      <c r="X104" s="88">
        <v>45627</v>
      </c>
      <c r="Y104" s="60" t="s">
        <v>424</v>
      </c>
      <c r="Z104" s="24">
        <v>2024</v>
      </c>
      <c r="AA104" s="24"/>
      <c r="AB104" s="24">
        <v>5021</v>
      </c>
      <c r="AC104" s="24"/>
      <c r="AD104" s="24">
        <v>1</v>
      </c>
      <c r="AE104" s="24"/>
      <c r="AF104" s="24">
        <v>0</v>
      </c>
      <c r="AG104" s="24"/>
      <c r="AH104" s="24">
        <v>0</v>
      </c>
      <c r="AI104" s="24"/>
      <c r="AJ104" s="24"/>
      <c r="AK104" s="24"/>
      <c r="AL104" s="24">
        <v>0</v>
      </c>
      <c r="AM104" s="157"/>
      <c r="AN104" s="60"/>
      <c r="AO104" s="210"/>
      <c r="AP104" s="210"/>
      <c r="AQ104" s="210"/>
      <c r="AR104" s="210"/>
      <c r="AS104" s="210"/>
      <c r="AT104" s="210"/>
      <c r="AU104" s="210"/>
    </row>
    <row r="105" spans="1:56" ht="15" customHeight="1">
      <c r="A105" s="55" t="s">
        <v>138</v>
      </c>
      <c r="B105" s="22" t="s">
        <v>383</v>
      </c>
      <c r="C105" s="24" t="s">
        <v>476</v>
      </c>
      <c r="D105" s="24" t="s">
        <v>137</v>
      </c>
      <c r="E105" s="177">
        <v>5678261.9720000001</v>
      </c>
      <c r="F105" s="27">
        <v>1697041.8389999999</v>
      </c>
      <c r="G105" s="65" t="s">
        <v>408</v>
      </c>
      <c r="H105" s="24" t="s">
        <v>37</v>
      </c>
      <c r="I105" s="33">
        <v>9228862</v>
      </c>
      <c r="J105" s="33">
        <v>9323669</v>
      </c>
      <c r="K105" s="34">
        <v>0</v>
      </c>
      <c r="L105" s="33">
        <f>I105*K105</f>
        <v>0</v>
      </c>
      <c r="M105" s="34">
        <v>0</v>
      </c>
      <c r="N105" s="33">
        <f>I105*M105</f>
        <v>0</v>
      </c>
      <c r="O105" s="34"/>
      <c r="P105" s="33">
        <f t="shared" si="25"/>
        <v>0</v>
      </c>
      <c r="Q105" s="34">
        <v>1</v>
      </c>
      <c r="R105" s="33">
        <f t="shared" si="26"/>
        <v>9228862</v>
      </c>
      <c r="S105" s="34">
        <f t="shared" si="27"/>
        <v>1</v>
      </c>
      <c r="T105" s="34">
        <v>0.1145</v>
      </c>
      <c r="U105" s="33"/>
      <c r="V105" s="35">
        <v>46174</v>
      </c>
      <c r="W105" s="143">
        <v>44713</v>
      </c>
      <c r="X105" s="28">
        <v>51653</v>
      </c>
      <c r="Y105" s="72"/>
      <c r="Z105" s="57">
        <v>2041</v>
      </c>
      <c r="AA105" s="33">
        <v>1475</v>
      </c>
      <c r="AB105" s="33">
        <v>1475</v>
      </c>
      <c r="AC105" s="54"/>
      <c r="AD105" s="34">
        <v>0</v>
      </c>
      <c r="AE105" s="62">
        <f>AA105*AD105</f>
        <v>0</v>
      </c>
      <c r="AF105" s="34">
        <v>0</v>
      </c>
      <c r="AG105" s="33">
        <f>AA105*AF105</f>
        <v>0</v>
      </c>
      <c r="AH105" s="58">
        <v>0</v>
      </c>
      <c r="AI105" s="33">
        <f>AA105*AH105</f>
        <v>0</v>
      </c>
      <c r="AJ105" s="24"/>
      <c r="AK105" s="54">
        <f>AJ105*AA105</f>
        <v>0</v>
      </c>
      <c r="AL105" s="34">
        <v>1</v>
      </c>
      <c r="AM105" s="59">
        <f>AA105*AL105</f>
        <v>1475</v>
      </c>
      <c r="AN105" s="60"/>
      <c r="AO105" s="60"/>
      <c r="AP105" s="60"/>
      <c r="AQ105" s="60"/>
      <c r="AR105" s="60"/>
      <c r="AS105" s="60"/>
      <c r="AT105" s="60"/>
      <c r="AU105" s="60"/>
      <c r="AV105" s="49"/>
      <c r="AW105" s="49"/>
      <c r="AX105" s="49"/>
    </row>
    <row r="106" spans="1:56" ht="15" customHeight="1">
      <c r="A106" s="55" t="s">
        <v>136</v>
      </c>
      <c r="B106" s="22" t="s">
        <v>383</v>
      </c>
      <c r="C106" s="24" t="s">
        <v>476</v>
      </c>
      <c r="D106" s="24" t="s">
        <v>132</v>
      </c>
      <c r="E106" s="177">
        <v>5526330</v>
      </c>
      <c r="F106" s="33">
        <v>1819050</v>
      </c>
      <c r="G106" s="65" t="s">
        <v>408</v>
      </c>
      <c r="H106" s="24" t="s">
        <v>37</v>
      </c>
      <c r="I106" s="21">
        <v>11145052</v>
      </c>
      <c r="J106" s="33">
        <v>10816767</v>
      </c>
      <c r="K106" s="34">
        <v>1</v>
      </c>
      <c r="L106" s="33">
        <f>I106*K106</f>
        <v>11145052</v>
      </c>
      <c r="M106" s="34">
        <v>0</v>
      </c>
      <c r="N106" s="33">
        <f>I106*M106</f>
        <v>0</v>
      </c>
      <c r="O106" s="34">
        <v>0</v>
      </c>
      <c r="P106" s="33">
        <f t="shared" si="25"/>
        <v>0</v>
      </c>
      <c r="Q106" s="34">
        <v>0</v>
      </c>
      <c r="R106" s="33">
        <f t="shared" si="26"/>
        <v>0</v>
      </c>
      <c r="S106" s="34">
        <f t="shared" si="27"/>
        <v>1</v>
      </c>
      <c r="T106" s="34">
        <v>0.28999999999999998</v>
      </c>
      <c r="U106" s="27">
        <v>14747910.666666666</v>
      </c>
      <c r="V106" s="34" t="s">
        <v>134</v>
      </c>
      <c r="W106" s="143">
        <v>46889</v>
      </c>
      <c r="X106" s="35">
        <v>46889</v>
      </c>
      <c r="Y106" s="72" t="s">
        <v>422</v>
      </c>
      <c r="Z106" s="57">
        <v>2028</v>
      </c>
      <c r="AA106" s="70">
        <v>12674.810742857142</v>
      </c>
      <c r="AB106" s="33">
        <v>1470</v>
      </c>
      <c r="AC106" s="54"/>
      <c r="AD106" s="34">
        <v>0.51749999999999996</v>
      </c>
      <c r="AE106" s="62">
        <f>AA106*AD106</f>
        <v>6559.2145594285703</v>
      </c>
      <c r="AF106" s="34">
        <v>0</v>
      </c>
      <c r="AG106" s="33">
        <f>AA106*AF106</f>
        <v>0</v>
      </c>
      <c r="AH106" s="58">
        <v>0.48249999999999998</v>
      </c>
      <c r="AI106" s="33">
        <f>AA106*AH106</f>
        <v>6115.5961834285708</v>
      </c>
      <c r="AJ106" s="24"/>
      <c r="AK106" s="54">
        <f>AJ106*AA106</f>
        <v>0</v>
      </c>
      <c r="AL106" s="34">
        <v>0</v>
      </c>
      <c r="AM106" s="59">
        <f>AA106*AL106</f>
        <v>0</v>
      </c>
      <c r="AN106" s="60"/>
      <c r="AO106" s="60"/>
      <c r="AP106" s="60"/>
      <c r="AQ106" s="60"/>
      <c r="AR106" s="60"/>
      <c r="AS106" s="60"/>
      <c r="AT106" s="60"/>
      <c r="AU106" s="60"/>
      <c r="AV106" s="49"/>
      <c r="AW106" s="49"/>
      <c r="AX106" s="49"/>
    </row>
    <row r="107" spans="1:56" ht="14.25" customHeight="1">
      <c r="A107" s="55" t="s">
        <v>136</v>
      </c>
      <c r="B107" s="22" t="s">
        <v>383</v>
      </c>
      <c r="C107" s="24" t="s">
        <v>474</v>
      </c>
      <c r="D107" s="24" t="s">
        <v>133</v>
      </c>
      <c r="E107" s="177">
        <v>5536788.2199999997</v>
      </c>
      <c r="F107" s="33">
        <v>1822978.48</v>
      </c>
      <c r="G107" s="33"/>
      <c r="H107" s="76" t="s">
        <v>54</v>
      </c>
      <c r="I107" s="24"/>
      <c r="J107" s="33">
        <v>35285.760000000002</v>
      </c>
      <c r="K107" s="34">
        <v>1</v>
      </c>
      <c r="L107" s="33">
        <f>I107*K107</f>
        <v>0</v>
      </c>
      <c r="M107" s="34"/>
      <c r="N107" s="33">
        <f>I107*M107</f>
        <v>0</v>
      </c>
      <c r="O107" s="34"/>
      <c r="P107" s="33">
        <f t="shared" si="25"/>
        <v>0</v>
      </c>
      <c r="Q107" s="34"/>
      <c r="R107" s="33">
        <f t="shared" si="26"/>
        <v>0</v>
      </c>
      <c r="S107" s="34">
        <f t="shared" si="27"/>
        <v>1</v>
      </c>
      <c r="T107" s="34">
        <v>0</v>
      </c>
      <c r="U107" s="33"/>
      <c r="V107" s="34"/>
      <c r="W107" s="54"/>
      <c r="X107" s="18" t="s">
        <v>135</v>
      </c>
      <c r="Y107" s="22"/>
      <c r="Z107" s="57"/>
      <c r="AA107" s="33"/>
      <c r="AB107" s="33">
        <v>0</v>
      </c>
      <c r="AC107" s="54"/>
      <c r="AD107" s="34"/>
      <c r="AE107" s="62">
        <f>AA107*AD107</f>
        <v>0</v>
      </c>
      <c r="AF107" s="34"/>
      <c r="AG107" s="33">
        <f>AA107*AF107</f>
        <v>0</v>
      </c>
      <c r="AH107" s="58"/>
      <c r="AI107" s="33">
        <f>AA107*AH107</f>
        <v>0</v>
      </c>
      <c r="AJ107" s="24"/>
      <c r="AK107" s="54">
        <f>AJ107*AA107</f>
        <v>0</v>
      </c>
      <c r="AL107" s="34"/>
      <c r="AM107" s="59">
        <f>AA107*AL107</f>
        <v>0</v>
      </c>
      <c r="AN107" s="67"/>
      <c r="AO107" s="60"/>
      <c r="AP107" s="60"/>
      <c r="AQ107" s="60"/>
      <c r="AR107" s="60"/>
      <c r="AS107" s="60"/>
      <c r="AT107" s="60"/>
      <c r="AU107" s="60"/>
      <c r="AV107" s="49"/>
      <c r="AW107" s="49"/>
      <c r="AX107" s="49"/>
      <c r="AY107" s="11"/>
    </row>
    <row r="108" spans="1:56" ht="15" customHeight="1">
      <c r="A108" s="53" t="s">
        <v>236</v>
      </c>
      <c r="B108" s="22" t="s">
        <v>383</v>
      </c>
      <c r="C108" s="24" t="s">
        <v>476</v>
      </c>
      <c r="D108" s="34" t="s">
        <v>235</v>
      </c>
      <c r="E108" s="177">
        <v>5447126</v>
      </c>
      <c r="F108" s="33">
        <v>1752480</v>
      </c>
      <c r="G108" s="33"/>
      <c r="H108" s="35" t="s">
        <v>37</v>
      </c>
      <c r="I108" s="89">
        <v>8146302.0299913548</v>
      </c>
      <c r="J108" s="33">
        <v>7774774</v>
      </c>
      <c r="K108" s="34">
        <v>0</v>
      </c>
      <c r="L108" s="33">
        <f>I108*K108</f>
        <v>0</v>
      </c>
      <c r="M108" s="34">
        <v>0</v>
      </c>
      <c r="N108" s="33">
        <f>I108*M108</f>
        <v>0</v>
      </c>
      <c r="O108" s="34">
        <v>0</v>
      </c>
      <c r="P108" s="33">
        <f t="shared" si="25"/>
        <v>0</v>
      </c>
      <c r="Q108" s="34">
        <v>1</v>
      </c>
      <c r="R108" s="33">
        <f t="shared" si="26"/>
        <v>8146302.0299913548</v>
      </c>
      <c r="S108" s="34">
        <f t="shared" si="27"/>
        <v>1</v>
      </c>
      <c r="T108" s="34">
        <v>0.1</v>
      </c>
      <c r="U108" s="27">
        <v>19867680</v>
      </c>
      <c r="V108" s="24">
        <v>2020</v>
      </c>
      <c r="W108" s="147">
        <v>2030</v>
      </c>
      <c r="X108" s="24">
        <v>2020</v>
      </c>
      <c r="Y108" s="22"/>
      <c r="Z108" s="57">
        <v>2020</v>
      </c>
      <c r="AA108" s="27">
        <v>6970.7000000000007</v>
      </c>
      <c r="AB108" s="33">
        <v>2080</v>
      </c>
      <c r="AC108" s="54"/>
      <c r="AD108" s="34">
        <v>0</v>
      </c>
      <c r="AE108" s="62">
        <f>AA108*AD108</f>
        <v>0</v>
      </c>
      <c r="AF108" s="34">
        <v>1</v>
      </c>
      <c r="AG108" s="33">
        <f>AA108*AF108</f>
        <v>6970.7000000000007</v>
      </c>
      <c r="AH108" s="58">
        <v>0</v>
      </c>
      <c r="AI108" s="33">
        <f>AA108*AH108</f>
        <v>0</v>
      </c>
      <c r="AJ108" s="24"/>
      <c r="AK108" s="54">
        <f>AJ108*AA108</f>
        <v>0</v>
      </c>
      <c r="AL108" s="34">
        <v>0</v>
      </c>
      <c r="AM108" s="59">
        <f>AA108*AL108</f>
        <v>0</v>
      </c>
      <c r="AN108" s="68"/>
      <c r="AO108" s="61"/>
      <c r="AP108" s="61"/>
      <c r="AQ108" s="61"/>
      <c r="AR108" s="60"/>
      <c r="AS108" s="60"/>
      <c r="AT108" s="60"/>
      <c r="AU108" s="60"/>
      <c r="AV108" s="49"/>
      <c r="AW108" s="49"/>
      <c r="AX108" s="49"/>
    </row>
    <row r="109" spans="1:56" ht="15" customHeight="1">
      <c r="A109" s="55" t="s">
        <v>460</v>
      </c>
      <c r="B109" s="22" t="s">
        <v>383</v>
      </c>
      <c r="C109" s="24" t="s">
        <v>476</v>
      </c>
      <c r="D109" s="24" t="s">
        <v>461</v>
      </c>
      <c r="E109" s="116">
        <v>5007382.6679999996</v>
      </c>
      <c r="F109" s="24">
        <v>1265580.4879999999</v>
      </c>
      <c r="G109" s="24" t="s">
        <v>479</v>
      </c>
      <c r="H109" s="24" t="s">
        <v>54</v>
      </c>
      <c r="I109" s="56">
        <v>3593770</v>
      </c>
      <c r="J109" s="33"/>
      <c r="K109" s="34">
        <v>1</v>
      </c>
      <c r="L109" s="33">
        <f>$I109*K109</f>
        <v>3593770</v>
      </c>
      <c r="M109" s="34"/>
      <c r="N109" s="33">
        <f>$I109*M109</f>
        <v>0</v>
      </c>
      <c r="O109" s="34"/>
      <c r="P109" s="33">
        <f t="shared" si="25"/>
        <v>0</v>
      </c>
      <c r="Q109" s="34"/>
      <c r="R109" s="33">
        <f t="shared" si="26"/>
        <v>0</v>
      </c>
      <c r="S109" s="34">
        <f t="shared" si="27"/>
        <v>1</v>
      </c>
      <c r="T109" s="34"/>
      <c r="U109" s="33"/>
      <c r="V109" s="24">
        <v>2044</v>
      </c>
      <c r="W109" s="54"/>
      <c r="X109" s="24" t="s">
        <v>472</v>
      </c>
      <c r="Y109" s="22" t="s">
        <v>424</v>
      </c>
      <c r="Z109" s="57">
        <v>2017</v>
      </c>
      <c r="AA109" s="33">
        <v>0</v>
      </c>
      <c r="AB109" s="33"/>
      <c r="AC109" s="54"/>
      <c r="AD109" s="34"/>
      <c r="AE109" s="62"/>
      <c r="AF109" s="34"/>
      <c r="AG109" s="33"/>
      <c r="AH109" s="58"/>
      <c r="AI109" s="33"/>
      <c r="AJ109" s="24"/>
      <c r="AK109" s="54"/>
      <c r="AL109" s="34"/>
      <c r="AM109" s="59"/>
      <c r="AN109" s="60"/>
      <c r="AO109" s="60"/>
      <c r="AP109" s="60"/>
      <c r="AQ109" s="60"/>
      <c r="AR109" s="60"/>
      <c r="AS109" s="60"/>
      <c r="AT109" s="60"/>
      <c r="AU109" s="60"/>
      <c r="AV109" s="49"/>
      <c r="AW109" s="49"/>
      <c r="AX109" s="49"/>
      <c r="AY109" s="11"/>
    </row>
    <row r="110" spans="1:56" ht="15" customHeight="1">
      <c r="A110" s="55" t="s">
        <v>460</v>
      </c>
      <c r="B110" s="22" t="s">
        <v>383</v>
      </c>
      <c r="C110" s="24" t="s">
        <v>476</v>
      </c>
      <c r="D110" s="24" t="s">
        <v>462</v>
      </c>
      <c r="E110" s="116">
        <v>5041888.8839999996</v>
      </c>
      <c r="F110" s="24">
        <v>1302246.9890000001</v>
      </c>
      <c r="G110" s="24" t="s">
        <v>479</v>
      </c>
      <c r="H110" s="24" t="s">
        <v>37</v>
      </c>
      <c r="I110" s="56">
        <v>1024201</v>
      </c>
      <c r="J110" s="33"/>
      <c r="K110" s="34"/>
      <c r="L110" s="33">
        <f>$I110*K110</f>
        <v>0</v>
      </c>
      <c r="M110" s="34">
        <v>1</v>
      </c>
      <c r="N110" s="33">
        <f>$I110*M110</f>
        <v>1024201</v>
      </c>
      <c r="O110" s="34"/>
      <c r="P110" s="33">
        <f t="shared" si="25"/>
        <v>0</v>
      </c>
      <c r="Q110" s="34"/>
      <c r="R110" s="33">
        <f t="shared" si="26"/>
        <v>0</v>
      </c>
      <c r="S110" s="34">
        <f t="shared" si="27"/>
        <v>1</v>
      </c>
      <c r="T110" s="34"/>
      <c r="U110" s="27">
        <v>2190000</v>
      </c>
      <c r="V110" s="24">
        <v>2041</v>
      </c>
      <c r="W110" s="54"/>
      <c r="X110" s="24">
        <v>2041</v>
      </c>
      <c r="Y110" s="22" t="s">
        <v>424</v>
      </c>
      <c r="Z110" s="57">
        <v>2041</v>
      </c>
      <c r="AA110" s="33">
        <v>260</v>
      </c>
      <c r="AB110" s="33"/>
      <c r="AC110" s="54"/>
      <c r="AD110" s="34"/>
      <c r="AE110" s="62"/>
      <c r="AF110" s="34">
        <v>1</v>
      </c>
      <c r="AG110" s="33">
        <f>AA110*AF110</f>
        <v>260</v>
      </c>
      <c r="AH110" s="58"/>
      <c r="AI110" s="33"/>
      <c r="AJ110" s="24"/>
      <c r="AK110" s="54"/>
      <c r="AL110" s="34"/>
      <c r="AM110" s="59"/>
      <c r="AN110" s="60"/>
      <c r="AO110" s="60"/>
      <c r="AP110" s="60"/>
      <c r="AQ110" s="60"/>
      <c r="AR110" s="60"/>
      <c r="AS110" s="60"/>
      <c r="AT110" s="60"/>
      <c r="AU110" s="60"/>
      <c r="AV110" s="49"/>
      <c r="AW110" s="49"/>
      <c r="AX110" s="49"/>
    </row>
    <row r="111" spans="1:56" ht="15" customHeight="1">
      <c r="A111" s="55" t="s">
        <v>460</v>
      </c>
      <c r="B111" s="22" t="s">
        <v>383</v>
      </c>
      <c r="C111" s="24" t="s">
        <v>476</v>
      </c>
      <c r="D111" s="24" t="s">
        <v>463</v>
      </c>
      <c r="E111" s="181">
        <v>5051849.0259999996</v>
      </c>
      <c r="F111" s="57">
        <v>1303182.0330000001</v>
      </c>
      <c r="G111" s="24" t="s">
        <v>479</v>
      </c>
      <c r="H111" s="24" t="s">
        <v>53</v>
      </c>
      <c r="I111" s="56">
        <v>134886</v>
      </c>
      <c r="J111" s="33"/>
      <c r="K111" s="34">
        <v>0.7</v>
      </c>
      <c r="L111" s="33">
        <f>$I111*K111</f>
        <v>94420.2</v>
      </c>
      <c r="M111" s="34">
        <v>0.3</v>
      </c>
      <c r="N111" s="33">
        <f>$I111*M111</f>
        <v>40465.799999999996</v>
      </c>
      <c r="O111" s="34"/>
      <c r="P111" s="33">
        <f t="shared" si="25"/>
        <v>0</v>
      </c>
      <c r="Q111" s="34"/>
      <c r="R111" s="33">
        <f t="shared" si="26"/>
        <v>0</v>
      </c>
      <c r="S111" s="34">
        <f t="shared" si="27"/>
        <v>1</v>
      </c>
      <c r="T111" s="34"/>
      <c r="U111" s="33"/>
      <c r="V111" s="24">
        <v>2022</v>
      </c>
      <c r="W111" s="54"/>
      <c r="X111" s="24">
        <v>2022</v>
      </c>
      <c r="Y111" s="22" t="s">
        <v>424</v>
      </c>
      <c r="Z111" s="57">
        <v>2022</v>
      </c>
      <c r="AA111" s="33">
        <v>0</v>
      </c>
      <c r="AB111" s="33"/>
      <c r="AC111" s="54"/>
      <c r="AD111" s="34"/>
      <c r="AE111" s="62"/>
      <c r="AF111" s="34"/>
      <c r="AG111" s="33"/>
      <c r="AH111" s="58"/>
      <c r="AI111" s="33"/>
      <c r="AJ111" s="24"/>
      <c r="AK111" s="54"/>
      <c r="AL111" s="34"/>
      <c r="AM111" s="59"/>
      <c r="AN111" s="60"/>
      <c r="AO111" s="60"/>
      <c r="AP111" s="60"/>
      <c r="AQ111" s="60"/>
      <c r="AR111" s="60"/>
      <c r="AS111" s="60"/>
      <c r="AT111" s="60"/>
      <c r="AU111" s="60"/>
      <c r="AV111" s="49"/>
      <c r="AW111" s="49"/>
      <c r="AX111" s="49"/>
    </row>
    <row r="112" spans="1:56" ht="15" customHeight="1">
      <c r="A112" s="55" t="s">
        <v>460</v>
      </c>
      <c r="B112" s="22" t="s">
        <v>383</v>
      </c>
      <c r="C112" s="24" t="s">
        <v>476</v>
      </c>
      <c r="D112" s="24" t="s">
        <v>464</v>
      </c>
      <c r="E112" s="177">
        <v>5022077</v>
      </c>
      <c r="F112" s="33">
        <v>1284394</v>
      </c>
      <c r="G112" s="24"/>
      <c r="H112" s="24" t="s">
        <v>54</v>
      </c>
      <c r="I112" s="24"/>
      <c r="J112" s="33"/>
      <c r="K112" s="34"/>
      <c r="L112" s="33">
        <f>$I112*K112</f>
        <v>0</v>
      </c>
      <c r="M112" s="34">
        <v>1</v>
      </c>
      <c r="N112" s="33">
        <f>$I112*M112</f>
        <v>0</v>
      </c>
      <c r="O112" s="34"/>
      <c r="P112" s="33">
        <f t="shared" si="25"/>
        <v>0</v>
      </c>
      <c r="Q112" s="34"/>
      <c r="R112" s="33">
        <f t="shared" si="26"/>
        <v>0</v>
      </c>
      <c r="S112" s="34">
        <f t="shared" si="27"/>
        <v>1</v>
      </c>
      <c r="T112" s="34"/>
      <c r="U112" s="33"/>
      <c r="V112" s="24" t="s">
        <v>471</v>
      </c>
      <c r="W112" s="54"/>
      <c r="X112" s="24" t="s">
        <v>471</v>
      </c>
      <c r="Y112" s="22" t="s">
        <v>436</v>
      </c>
      <c r="Z112" s="57" t="s">
        <v>471</v>
      </c>
      <c r="AA112" s="33" t="s">
        <v>471</v>
      </c>
      <c r="AB112" s="33"/>
      <c r="AC112" s="54"/>
      <c r="AD112" s="34"/>
      <c r="AE112" s="62"/>
      <c r="AF112" s="34"/>
      <c r="AG112" s="33"/>
      <c r="AH112" s="58"/>
      <c r="AI112" s="33"/>
      <c r="AJ112" s="24"/>
      <c r="AK112" s="54"/>
      <c r="AL112" s="34"/>
      <c r="AM112" s="59"/>
      <c r="AN112" s="60"/>
      <c r="AO112" s="60"/>
      <c r="AP112" s="60"/>
      <c r="AQ112" s="60"/>
      <c r="AR112" s="60"/>
      <c r="AS112" s="60"/>
      <c r="AT112" s="60"/>
      <c r="AU112" s="60"/>
      <c r="AV112" s="49"/>
      <c r="AW112" s="49"/>
      <c r="AX112" s="49"/>
    </row>
    <row r="113" spans="1:51" ht="15" customHeight="1">
      <c r="A113" s="55" t="s">
        <v>494</v>
      </c>
      <c r="B113" s="22" t="s">
        <v>383</v>
      </c>
      <c r="C113" s="24" t="s">
        <v>476</v>
      </c>
      <c r="D113" s="24" t="s">
        <v>131</v>
      </c>
      <c r="E113" s="177">
        <v>5773033.2999999998</v>
      </c>
      <c r="F113" s="33">
        <v>1886086.4</v>
      </c>
      <c r="G113" s="65" t="s">
        <v>318</v>
      </c>
      <c r="H113" s="24" t="s">
        <v>54</v>
      </c>
      <c r="I113" s="90">
        <v>6570000</v>
      </c>
      <c r="J113" s="33">
        <v>68000000</v>
      </c>
      <c r="K113" s="34">
        <v>0</v>
      </c>
      <c r="L113" s="33">
        <f t="shared" ref="L113:L138" si="38">I113*K113</f>
        <v>0</v>
      </c>
      <c r="M113" s="34">
        <v>1</v>
      </c>
      <c r="N113" s="33">
        <f t="shared" ref="N113:N138" si="39">I113*M113</f>
        <v>6570000</v>
      </c>
      <c r="O113" s="34">
        <v>0</v>
      </c>
      <c r="P113" s="33">
        <f t="shared" si="25"/>
        <v>0</v>
      </c>
      <c r="Q113" s="34">
        <v>0</v>
      </c>
      <c r="R113" s="33">
        <f t="shared" si="26"/>
        <v>0</v>
      </c>
      <c r="S113" s="34">
        <f t="shared" si="27"/>
        <v>1</v>
      </c>
      <c r="T113" s="34">
        <v>5.5E-2</v>
      </c>
      <c r="U113" s="33">
        <v>829668</v>
      </c>
      <c r="V113" s="24"/>
      <c r="W113" s="145"/>
      <c r="X113" s="28">
        <v>44408</v>
      </c>
      <c r="Y113" s="22"/>
      <c r="Z113" s="57">
        <v>2021</v>
      </c>
      <c r="AA113" s="33">
        <v>9795</v>
      </c>
      <c r="AB113" s="33">
        <v>9795</v>
      </c>
      <c r="AC113" s="78"/>
      <c r="AD113" s="34">
        <v>0</v>
      </c>
      <c r="AE113" s="62">
        <f t="shared" ref="AE113:AE144" si="40">AA113*AD113</f>
        <v>0</v>
      </c>
      <c r="AF113" s="34">
        <v>0.02</v>
      </c>
      <c r="AG113" s="33">
        <f t="shared" ref="AG113:AG160" si="41">AA113*AF113</f>
        <v>195.9</v>
      </c>
      <c r="AH113" s="58">
        <v>0.98</v>
      </c>
      <c r="AI113" s="33">
        <f t="shared" ref="AI113:AI138" si="42">AA113*AH113</f>
        <v>9599.1</v>
      </c>
      <c r="AJ113" s="24"/>
      <c r="AK113" s="54">
        <f t="shared" ref="AK113:AK138" si="43">AJ113*AA113</f>
        <v>0</v>
      </c>
      <c r="AL113" s="34">
        <v>0</v>
      </c>
      <c r="AM113" s="59">
        <f t="shared" ref="AM113:AM144" si="44">AA113*AL113</f>
        <v>0</v>
      </c>
      <c r="AN113" s="61"/>
      <c r="AO113" s="60"/>
      <c r="AP113" s="67"/>
      <c r="AQ113" s="60"/>
      <c r="AR113" s="60"/>
      <c r="AS113" s="60"/>
      <c r="AT113" s="60"/>
      <c r="AU113" s="60"/>
      <c r="AV113" s="49"/>
      <c r="AW113" s="49"/>
      <c r="AX113" s="49"/>
      <c r="AY113" s="11"/>
    </row>
    <row r="114" spans="1:51" ht="15" customHeight="1">
      <c r="A114" s="55" t="s">
        <v>493</v>
      </c>
      <c r="B114" s="22" t="s">
        <v>383</v>
      </c>
      <c r="C114" s="24" t="s">
        <v>476</v>
      </c>
      <c r="D114" s="24" t="s">
        <v>123</v>
      </c>
      <c r="E114" s="177">
        <v>5692422</v>
      </c>
      <c r="F114" s="33">
        <v>1795568</v>
      </c>
      <c r="G114" s="33"/>
      <c r="H114" s="24" t="s">
        <v>37</v>
      </c>
      <c r="I114" s="24">
        <v>611841</v>
      </c>
      <c r="J114" s="33">
        <v>692769</v>
      </c>
      <c r="K114" s="34">
        <v>1</v>
      </c>
      <c r="L114" s="33">
        <f t="shared" si="38"/>
        <v>611841</v>
      </c>
      <c r="M114" s="34">
        <v>0</v>
      </c>
      <c r="N114" s="33">
        <f t="shared" si="39"/>
        <v>0</v>
      </c>
      <c r="O114" s="34">
        <v>0</v>
      </c>
      <c r="P114" s="33">
        <f t="shared" si="25"/>
        <v>0</v>
      </c>
      <c r="Q114" s="34">
        <v>0</v>
      </c>
      <c r="R114" s="33">
        <f t="shared" si="26"/>
        <v>0</v>
      </c>
      <c r="S114" s="34">
        <f t="shared" si="27"/>
        <v>1</v>
      </c>
      <c r="T114" s="34">
        <v>0</v>
      </c>
      <c r="U114" s="33"/>
      <c r="V114" s="24">
        <v>2003</v>
      </c>
      <c r="W114" s="54">
        <v>2003</v>
      </c>
      <c r="X114" s="24">
        <v>2003</v>
      </c>
      <c r="Y114" s="72" t="s">
        <v>381</v>
      </c>
      <c r="Z114" s="57">
        <v>2003</v>
      </c>
      <c r="AA114" s="33"/>
      <c r="AB114" s="33">
        <v>45.04</v>
      </c>
      <c r="AC114" s="54"/>
      <c r="AD114" s="34">
        <v>0</v>
      </c>
      <c r="AE114" s="62">
        <f t="shared" si="40"/>
        <v>0</v>
      </c>
      <c r="AF114" s="34">
        <v>0</v>
      </c>
      <c r="AG114" s="33">
        <f t="shared" si="41"/>
        <v>0</v>
      </c>
      <c r="AH114" s="58">
        <v>0</v>
      </c>
      <c r="AI114" s="33">
        <f t="shared" si="42"/>
        <v>0</v>
      </c>
      <c r="AJ114" s="24"/>
      <c r="AK114" s="54">
        <f t="shared" si="43"/>
        <v>0</v>
      </c>
      <c r="AL114" s="34"/>
      <c r="AM114" s="59">
        <f t="shared" si="44"/>
        <v>0</v>
      </c>
      <c r="AN114" s="60" t="s">
        <v>423</v>
      </c>
      <c r="AO114" s="60"/>
      <c r="AP114" s="60"/>
      <c r="AQ114" s="60"/>
      <c r="AR114" s="60"/>
      <c r="AS114" s="60"/>
      <c r="AT114" s="60"/>
      <c r="AU114" s="60"/>
      <c r="AV114" s="49"/>
      <c r="AW114" s="49"/>
      <c r="AX114" s="49"/>
    </row>
    <row r="115" spans="1:51" ht="15" customHeight="1">
      <c r="A115" s="55" t="s">
        <v>493</v>
      </c>
      <c r="B115" s="22" t="s">
        <v>383</v>
      </c>
      <c r="C115" s="24" t="s">
        <v>476</v>
      </c>
      <c r="D115" s="24" t="s">
        <v>124</v>
      </c>
      <c r="E115" s="177">
        <v>5662291</v>
      </c>
      <c r="F115" s="33">
        <v>1806913</v>
      </c>
      <c r="G115" s="33"/>
      <c r="H115" s="24" t="s">
        <v>54</v>
      </c>
      <c r="I115" s="24">
        <v>149061</v>
      </c>
      <c r="J115" s="33">
        <v>165757</v>
      </c>
      <c r="K115" s="34">
        <v>1</v>
      </c>
      <c r="L115" s="33">
        <f t="shared" si="38"/>
        <v>149061</v>
      </c>
      <c r="M115" s="34">
        <v>0</v>
      </c>
      <c r="N115" s="33">
        <f t="shared" si="39"/>
        <v>0</v>
      </c>
      <c r="O115" s="34">
        <v>0</v>
      </c>
      <c r="P115" s="33">
        <f t="shared" si="25"/>
        <v>0</v>
      </c>
      <c r="Q115" s="34">
        <v>0</v>
      </c>
      <c r="R115" s="33">
        <f t="shared" si="26"/>
        <v>0</v>
      </c>
      <c r="S115" s="34">
        <f t="shared" si="27"/>
        <v>1</v>
      </c>
      <c r="T115" s="34">
        <v>0</v>
      </c>
      <c r="U115" s="33"/>
      <c r="V115" s="35">
        <v>42309</v>
      </c>
      <c r="W115" s="54" t="s">
        <v>129</v>
      </c>
      <c r="X115" s="76">
        <v>42309</v>
      </c>
      <c r="Y115" s="72" t="s">
        <v>381</v>
      </c>
      <c r="Z115" s="57">
        <v>2015</v>
      </c>
      <c r="AA115" s="33"/>
      <c r="AB115" s="33"/>
      <c r="AC115" s="54"/>
      <c r="AD115" s="34">
        <v>0</v>
      </c>
      <c r="AE115" s="62">
        <f t="shared" si="40"/>
        <v>0</v>
      </c>
      <c r="AF115" s="34">
        <v>0</v>
      </c>
      <c r="AG115" s="33">
        <f t="shared" si="41"/>
        <v>0</v>
      </c>
      <c r="AH115" s="58">
        <v>0</v>
      </c>
      <c r="AI115" s="33">
        <f t="shared" si="42"/>
        <v>0</v>
      </c>
      <c r="AJ115" s="24"/>
      <c r="AK115" s="54">
        <f t="shared" si="43"/>
        <v>0</v>
      </c>
      <c r="AL115" s="34"/>
      <c r="AM115" s="59">
        <f t="shared" si="44"/>
        <v>0</v>
      </c>
      <c r="AN115" s="60"/>
      <c r="AO115" s="60"/>
      <c r="AP115" s="60"/>
      <c r="AQ115" s="60"/>
      <c r="AR115" s="60"/>
      <c r="AS115" s="60"/>
      <c r="AT115" s="60"/>
      <c r="AU115" s="60"/>
      <c r="AV115" s="49"/>
      <c r="AW115" s="49"/>
      <c r="AX115" s="49"/>
    </row>
    <row r="116" spans="1:51" ht="15" customHeight="1">
      <c r="A116" s="55" t="s">
        <v>493</v>
      </c>
      <c r="B116" s="22" t="s">
        <v>383</v>
      </c>
      <c r="C116" s="24" t="s">
        <v>476</v>
      </c>
      <c r="D116" s="24" t="s">
        <v>125</v>
      </c>
      <c r="E116" s="177">
        <v>5635162</v>
      </c>
      <c r="F116" s="33">
        <v>1805270</v>
      </c>
      <c r="G116" s="33"/>
      <c r="H116" s="24" t="s">
        <v>37</v>
      </c>
      <c r="I116" s="24">
        <v>279098</v>
      </c>
      <c r="J116" s="33">
        <v>291825</v>
      </c>
      <c r="K116" s="34">
        <v>1</v>
      </c>
      <c r="L116" s="33">
        <f t="shared" si="38"/>
        <v>279098</v>
      </c>
      <c r="M116" s="34">
        <v>0</v>
      </c>
      <c r="N116" s="33">
        <f t="shared" si="39"/>
        <v>0</v>
      </c>
      <c r="O116" s="34">
        <v>0</v>
      </c>
      <c r="P116" s="33">
        <f t="shared" si="25"/>
        <v>0</v>
      </c>
      <c r="Q116" s="34">
        <v>0</v>
      </c>
      <c r="R116" s="33">
        <f t="shared" si="26"/>
        <v>0</v>
      </c>
      <c r="S116" s="34">
        <f t="shared" si="27"/>
        <v>1</v>
      </c>
      <c r="T116" s="34">
        <v>0</v>
      </c>
      <c r="U116" s="33"/>
      <c r="V116" s="35">
        <v>42309</v>
      </c>
      <c r="W116" s="54" t="s">
        <v>129</v>
      </c>
      <c r="X116" s="76">
        <v>42309</v>
      </c>
      <c r="Y116" s="72" t="s">
        <v>381</v>
      </c>
      <c r="Z116" s="57">
        <v>2015</v>
      </c>
      <c r="AA116" s="33"/>
      <c r="AB116" s="33"/>
      <c r="AC116" s="54"/>
      <c r="AD116" s="34">
        <v>0</v>
      </c>
      <c r="AE116" s="62">
        <f t="shared" si="40"/>
        <v>0</v>
      </c>
      <c r="AF116" s="34">
        <v>0</v>
      </c>
      <c r="AG116" s="33">
        <f t="shared" si="41"/>
        <v>0</v>
      </c>
      <c r="AH116" s="58">
        <v>0</v>
      </c>
      <c r="AI116" s="33">
        <f t="shared" si="42"/>
        <v>0</v>
      </c>
      <c r="AJ116" s="24"/>
      <c r="AK116" s="54">
        <f t="shared" si="43"/>
        <v>0</v>
      </c>
      <c r="AL116" s="34"/>
      <c r="AM116" s="59">
        <f t="shared" si="44"/>
        <v>0</v>
      </c>
      <c r="AN116" s="60"/>
      <c r="AO116" s="60"/>
      <c r="AP116" s="60"/>
      <c r="AQ116" s="60"/>
      <c r="AR116" s="60"/>
      <c r="AS116" s="60"/>
      <c r="AT116" s="60"/>
      <c r="AU116" s="60"/>
      <c r="AV116" s="49"/>
      <c r="AW116" s="49"/>
      <c r="AX116" s="49"/>
    </row>
    <row r="117" spans="1:51" ht="15" customHeight="1">
      <c r="A117" s="55" t="s">
        <v>493</v>
      </c>
      <c r="B117" s="22" t="s">
        <v>383</v>
      </c>
      <c r="C117" s="24" t="s">
        <v>476</v>
      </c>
      <c r="D117" s="24" t="s">
        <v>126</v>
      </c>
      <c r="E117" s="177">
        <v>5632788</v>
      </c>
      <c r="F117" s="33">
        <v>1811252</v>
      </c>
      <c r="G117" s="65" t="s">
        <v>408</v>
      </c>
      <c r="H117" s="24" t="s">
        <v>54</v>
      </c>
      <c r="I117" s="24">
        <v>22583</v>
      </c>
      <c r="J117" s="33">
        <v>10216</v>
      </c>
      <c r="K117" s="34">
        <v>1</v>
      </c>
      <c r="L117" s="33">
        <f t="shared" si="38"/>
        <v>22583</v>
      </c>
      <c r="M117" s="34">
        <v>0</v>
      </c>
      <c r="N117" s="33">
        <f t="shared" si="39"/>
        <v>0</v>
      </c>
      <c r="O117" s="34">
        <v>0</v>
      </c>
      <c r="P117" s="33">
        <f t="shared" si="25"/>
        <v>0</v>
      </c>
      <c r="Q117" s="34">
        <v>0</v>
      </c>
      <c r="R117" s="33">
        <f t="shared" si="26"/>
        <v>0</v>
      </c>
      <c r="S117" s="34">
        <f t="shared" si="27"/>
        <v>1</v>
      </c>
      <c r="T117" s="34">
        <v>0</v>
      </c>
      <c r="U117" s="33"/>
      <c r="V117" s="24"/>
      <c r="W117" s="54"/>
      <c r="X117" s="76">
        <v>38687</v>
      </c>
      <c r="Y117" s="72" t="s">
        <v>381</v>
      </c>
      <c r="Z117" s="57">
        <v>2005</v>
      </c>
      <c r="AA117" s="33"/>
      <c r="AB117" s="33"/>
      <c r="AC117" s="54"/>
      <c r="AD117" s="34">
        <v>0</v>
      </c>
      <c r="AE117" s="62">
        <f t="shared" si="40"/>
        <v>0</v>
      </c>
      <c r="AF117" s="34">
        <v>0</v>
      </c>
      <c r="AG117" s="33">
        <f t="shared" si="41"/>
        <v>0</v>
      </c>
      <c r="AH117" s="58">
        <v>0</v>
      </c>
      <c r="AI117" s="33">
        <f t="shared" si="42"/>
        <v>0</v>
      </c>
      <c r="AJ117" s="24"/>
      <c r="AK117" s="54">
        <f t="shared" si="43"/>
        <v>0</v>
      </c>
      <c r="AL117" s="34"/>
      <c r="AM117" s="59">
        <f t="shared" si="44"/>
        <v>0</v>
      </c>
      <c r="AN117" s="60"/>
      <c r="AO117" s="60"/>
      <c r="AP117" s="60"/>
      <c r="AQ117" s="60"/>
      <c r="AR117" s="60"/>
      <c r="AS117" s="60"/>
      <c r="AT117" s="60"/>
      <c r="AU117" s="60"/>
      <c r="AV117" s="49"/>
      <c r="AW117" s="49"/>
      <c r="AX117" s="49"/>
    </row>
    <row r="118" spans="1:51" ht="15" customHeight="1">
      <c r="A118" s="55" t="s">
        <v>493</v>
      </c>
      <c r="B118" s="22" t="s">
        <v>383</v>
      </c>
      <c r="C118" s="24" t="s">
        <v>476</v>
      </c>
      <c r="D118" s="24" t="s">
        <v>127</v>
      </c>
      <c r="E118" s="177">
        <v>5632525</v>
      </c>
      <c r="F118" s="33">
        <v>1796128</v>
      </c>
      <c r="G118" s="65" t="s">
        <v>408</v>
      </c>
      <c r="H118" s="24" t="s">
        <v>54</v>
      </c>
      <c r="I118" s="24">
        <v>419863</v>
      </c>
      <c r="J118" s="33">
        <v>244066</v>
      </c>
      <c r="K118" s="34">
        <v>1</v>
      </c>
      <c r="L118" s="33">
        <f t="shared" si="38"/>
        <v>419863</v>
      </c>
      <c r="M118" s="34">
        <v>0</v>
      </c>
      <c r="N118" s="33">
        <f t="shared" si="39"/>
        <v>0</v>
      </c>
      <c r="O118" s="34">
        <v>0</v>
      </c>
      <c r="P118" s="33">
        <f t="shared" si="25"/>
        <v>0</v>
      </c>
      <c r="Q118" s="34">
        <v>0</v>
      </c>
      <c r="R118" s="33">
        <f t="shared" si="26"/>
        <v>0</v>
      </c>
      <c r="S118" s="34">
        <f t="shared" si="27"/>
        <v>1</v>
      </c>
      <c r="T118" s="34">
        <v>0</v>
      </c>
      <c r="U118" s="33"/>
      <c r="V118" s="35">
        <v>42309</v>
      </c>
      <c r="W118" s="54" t="s">
        <v>129</v>
      </c>
      <c r="X118" s="76">
        <v>42309</v>
      </c>
      <c r="Y118" s="72" t="s">
        <v>381</v>
      </c>
      <c r="Z118" s="57">
        <v>2015</v>
      </c>
      <c r="AA118" s="33"/>
      <c r="AB118" s="33"/>
      <c r="AC118" s="54"/>
      <c r="AD118" s="34">
        <v>0</v>
      </c>
      <c r="AE118" s="62">
        <f t="shared" si="40"/>
        <v>0</v>
      </c>
      <c r="AF118" s="34">
        <v>0</v>
      </c>
      <c r="AG118" s="33">
        <f t="shared" si="41"/>
        <v>0</v>
      </c>
      <c r="AH118" s="58">
        <v>0</v>
      </c>
      <c r="AI118" s="33">
        <f t="shared" si="42"/>
        <v>0</v>
      </c>
      <c r="AJ118" s="24"/>
      <c r="AK118" s="54">
        <f t="shared" si="43"/>
        <v>0</v>
      </c>
      <c r="AL118" s="34"/>
      <c r="AM118" s="59">
        <f t="shared" si="44"/>
        <v>0</v>
      </c>
      <c r="AN118" s="60"/>
      <c r="AO118" s="60"/>
      <c r="AP118" s="60"/>
      <c r="AQ118" s="60"/>
      <c r="AR118" s="60"/>
      <c r="AS118" s="60"/>
      <c r="AT118" s="60"/>
      <c r="AU118" s="60"/>
      <c r="AV118" s="49"/>
      <c r="AW118" s="49"/>
      <c r="AX118" s="49"/>
    </row>
    <row r="119" spans="1:51" s="211" customFormat="1" ht="15" customHeight="1">
      <c r="A119" s="55" t="s">
        <v>130</v>
      </c>
      <c r="B119" s="22" t="s">
        <v>383</v>
      </c>
      <c r="C119" s="24" t="s">
        <v>476</v>
      </c>
      <c r="D119" s="24" t="s">
        <v>128</v>
      </c>
      <c r="E119" s="177">
        <v>5627982</v>
      </c>
      <c r="F119" s="33">
        <v>1775841</v>
      </c>
      <c r="G119" s="65" t="s">
        <v>408</v>
      </c>
      <c r="H119" s="24" t="s">
        <v>37</v>
      </c>
      <c r="I119" s="24">
        <v>1463</v>
      </c>
      <c r="J119" s="33">
        <v>2070</v>
      </c>
      <c r="K119" s="34">
        <v>0</v>
      </c>
      <c r="L119" s="33">
        <f t="shared" si="38"/>
        <v>0</v>
      </c>
      <c r="M119" s="34">
        <v>1</v>
      </c>
      <c r="N119" s="33">
        <f t="shared" si="39"/>
        <v>1463</v>
      </c>
      <c r="O119" s="34">
        <v>0</v>
      </c>
      <c r="P119" s="33">
        <f t="shared" si="25"/>
        <v>0</v>
      </c>
      <c r="Q119" s="34">
        <v>0</v>
      </c>
      <c r="R119" s="33">
        <f t="shared" si="26"/>
        <v>0</v>
      </c>
      <c r="S119" s="34">
        <f t="shared" si="27"/>
        <v>1</v>
      </c>
      <c r="T119" s="34">
        <v>0</v>
      </c>
      <c r="U119" s="33"/>
      <c r="V119" s="35">
        <v>49491</v>
      </c>
      <c r="W119" s="54" t="s">
        <v>129</v>
      </c>
      <c r="X119" s="76">
        <v>49491</v>
      </c>
      <c r="Y119" s="81"/>
      <c r="Z119" s="57">
        <v>2035</v>
      </c>
      <c r="AA119" s="33"/>
      <c r="AB119" s="33"/>
      <c r="AC119" s="54"/>
      <c r="AD119" s="34">
        <v>0</v>
      </c>
      <c r="AE119" s="62">
        <f t="shared" si="40"/>
        <v>0</v>
      </c>
      <c r="AF119" s="34">
        <v>0</v>
      </c>
      <c r="AG119" s="33">
        <f t="shared" si="41"/>
        <v>0</v>
      </c>
      <c r="AH119" s="58">
        <v>0</v>
      </c>
      <c r="AI119" s="33">
        <f t="shared" si="42"/>
        <v>0</v>
      </c>
      <c r="AJ119" s="24"/>
      <c r="AK119" s="54">
        <f t="shared" si="43"/>
        <v>0</v>
      </c>
      <c r="AL119" s="34"/>
      <c r="AM119" s="59">
        <f t="shared" si="44"/>
        <v>0</v>
      </c>
      <c r="AN119" s="60"/>
      <c r="AO119" s="210"/>
      <c r="AP119" s="210"/>
      <c r="AQ119" s="210"/>
      <c r="AR119" s="210"/>
      <c r="AS119" s="210"/>
      <c r="AT119" s="210"/>
      <c r="AU119" s="210"/>
    </row>
    <row r="120" spans="1:51" ht="15" customHeight="1">
      <c r="A120" s="55" t="s">
        <v>492</v>
      </c>
      <c r="B120" s="22" t="s">
        <v>383</v>
      </c>
      <c r="C120" s="24" t="s">
        <v>476</v>
      </c>
      <c r="D120" s="24" t="s">
        <v>116</v>
      </c>
      <c r="E120" s="177">
        <v>5243698.4400000004</v>
      </c>
      <c r="F120" s="33">
        <v>1483137.12</v>
      </c>
      <c r="G120" s="24"/>
      <c r="H120" s="24" t="s">
        <v>53</v>
      </c>
      <c r="I120" s="91">
        <v>8078.9</v>
      </c>
      <c r="J120" s="33">
        <v>2011.1</v>
      </c>
      <c r="K120" s="34">
        <v>0</v>
      </c>
      <c r="L120" s="33">
        <f t="shared" si="38"/>
        <v>0</v>
      </c>
      <c r="M120" s="34">
        <v>1</v>
      </c>
      <c r="N120" s="33">
        <f t="shared" si="39"/>
        <v>8078.9</v>
      </c>
      <c r="O120" s="34">
        <v>0</v>
      </c>
      <c r="P120" s="33">
        <f t="shared" si="25"/>
        <v>0</v>
      </c>
      <c r="Q120" s="34">
        <v>0</v>
      </c>
      <c r="R120" s="33">
        <f t="shared" si="26"/>
        <v>0</v>
      </c>
      <c r="S120" s="34">
        <f t="shared" si="27"/>
        <v>1</v>
      </c>
      <c r="T120" s="34"/>
      <c r="U120" s="33"/>
      <c r="V120" s="92">
        <v>46690</v>
      </c>
      <c r="W120" s="143"/>
      <c r="X120" s="92">
        <v>46690</v>
      </c>
      <c r="Y120" s="22"/>
      <c r="Z120" s="57">
        <v>2027</v>
      </c>
      <c r="AA120" s="33"/>
      <c r="AB120" s="33">
        <v>0.24</v>
      </c>
      <c r="AC120" s="54"/>
      <c r="AD120" s="34">
        <v>0</v>
      </c>
      <c r="AE120" s="62">
        <f t="shared" si="40"/>
        <v>0</v>
      </c>
      <c r="AF120" s="34">
        <v>0</v>
      </c>
      <c r="AG120" s="33">
        <f t="shared" si="41"/>
        <v>0</v>
      </c>
      <c r="AH120" s="58">
        <v>0</v>
      </c>
      <c r="AI120" s="33">
        <f t="shared" si="42"/>
        <v>0</v>
      </c>
      <c r="AJ120" s="74">
        <v>1</v>
      </c>
      <c r="AK120" s="54">
        <f t="shared" si="43"/>
        <v>0</v>
      </c>
      <c r="AL120" s="34">
        <v>1</v>
      </c>
      <c r="AM120" s="59">
        <f t="shared" si="44"/>
        <v>0</v>
      </c>
      <c r="AN120" s="67" t="s">
        <v>425</v>
      </c>
      <c r="AO120" s="67"/>
      <c r="AP120" s="67"/>
      <c r="AQ120" s="67"/>
      <c r="AR120" s="77"/>
      <c r="AS120" s="67"/>
      <c r="AT120" s="60"/>
      <c r="AU120" s="60"/>
      <c r="AV120" s="49"/>
      <c r="AW120" s="49"/>
      <c r="AX120" s="49"/>
    </row>
    <row r="121" spans="1:51" ht="15" customHeight="1">
      <c r="A121" s="55" t="s">
        <v>492</v>
      </c>
      <c r="B121" s="22" t="s">
        <v>383</v>
      </c>
      <c r="C121" s="24" t="s">
        <v>476</v>
      </c>
      <c r="D121" s="24" t="s">
        <v>117</v>
      </c>
      <c r="E121" s="182">
        <v>5215148.12</v>
      </c>
      <c r="F121" s="166">
        <v>1496922.84</v>
      </c>
      <c r="G121" s="65" t="s">
        <v>408</v>
      </c>
      <c r="H121" s="24" t="s">
        <v>53</v>
      </c>
      <c r="I121" s="91">
        <v>27871.9</v>
      </c>
      <c r="J121" s="33">
        <v>24600.7</v>
      </c>
      <c r="K121" s="34">
        <v>0</v>
      </c>
      <c r="L121" s="33">
        <f t="shared" si="38"/>
        <v>0</v>
      </c>
      <c r="M121" s="34">
        <v>1</v>
      </c>
      <c r="N121" s="33">
        <f t="shared" si="39"/>
        <v>27871.9</v>
      </c>
      <c r="O121" s="34">
        <v>0</v>
      </c>
      <c r="P121" s="33">
        <f t="shared" si="25"/>
        <v>0</v>
      </c>
      <c r="Q121" s="34">
        <v>0</v>
      </c>
      <c r="R121" s="33">
        <f t="shared" si="26"/>
        <v>0</v>
      </c>
      <c r="S121" s="34">
        <f t="shared" si="27"/>
        <v>1</v>
      </c>
      <c r="T121" s="34"/>
      <c r="U121" s="33"/>
      <c r="V121" s="92">
        <v>49335</v>
      </c>
      <c r="W121" s="143"/>
      <c r="X121" s="92">
        <v>49335</v>
      </c>
      <c r="Y121" s="22"/>
      <c r="Z121" s="57">
        <v>2035</v>
      </c>
      <c r="AA121" s="33"/>
      <c r="AB121" s="33"/>
      <c r="AC121" s="54"/>
      <c r="AD121" s="34">
        <v>0</v>
      </c>
      <c r="AE121" s="62">
        <f t="shared" si="40"/>
        <v>0</v>
      </c>
      <c r="AF121" s="34">
        <v>0</v>
      </c>
      <c r="AG121" s="33">
        <f t="shared" si="41"/>
        <v>0</v>
      </c>
      <c r="AH121" s="58">
        <v>0</v>
      </c>
      <c r="AI121" s="33">
        <f t="shared" si="42"/>
        <v>0</v>
      </c>
      <c r="AJ121" s="24"/>
      <c r="AK121" s="54">
        <f t="shared" si="43"/>
        <v>0</v>
      </c>
      <c r="AL121" s="34">
        <v>0</v>
      </c>
      <c r="AM121" s="59">
        <f t="shared" si="44"/>
        <v>0</v>
      </c>
      <c r="AN121" s="67"/>
      <c r="AO121" s="67"/>
      <c r="AP121" s="67"/>
      <c r="AQ121" s="67"/>
      <c r="AR121" s="67"/>
      <c r="AS121" s="67"/>
      <c r="AT121" s="60"/>
      <c r="AU121" s="60"/>
      <c r="AV121" s="49"/>
      <c r="AW121" s="49"/>
      <c r="AX121" s="49"/>
    </row>
    <row r="122" spans="1:51" ht="15" customHeight="1">
      <c r="A122" s="55" t="s">
        <v>492</v>
      </c>
      <c r="B122" s="22" t="s">
        <v>383</v>
      </c>
      <c r="C122" s="24" t="s">
        <v>476</v>
      </c>
      <c r="D122" s="24" t="s">
        <v>118</v>
      </c>
      <c r="E122" s="177">
        <v>5176978.5199999996</v>
      </c>
      <c r="F122" s="33">
        <v>1556782.47</v>
      </c>
      <c r="G122" s="24"/>
      <c r="H122" s="24" t="s">
        <v>37</v>
      </c>
      <c r="I122" s="91">
        <v>11008.2</v>
      </c>
      <c r="J122" s="33">
        <v>11009.9</v>
      </c>
      <c r="K122" s="34">
        <v>0</v>
      </c>
      <c r="L122" s="33">
        <f t="shared" si="38"/>
        <v>0</v>
      </c>
      <c r="M122" s="34">
        <v>1</v>
      </c>
      <c r="N122" s="33">
        <f t="shared" si="39"/>
        <v>11008.2</v>
      </c>
      <c r="O122" s="34">
        <v>0</v>
      </c>
      <c r="P122" s="33">
        <f t="shared" si="25"/>
        <v>0</v>
      </c>
      <c r="Q122" s="34">
        <v>0</v>
      </c>
      <c r="R122" s="33">
        <f t="shared" si="26"/>
        <v>0</v>
      </c>
      <c r="S122" s="34">
        <f t="shared" si="27"/>
        <v>1</v>
      </c>
      <c r="T122" s="34"/>
      <c r="U122" s="33"/>
      <c r="V122" s="92">
        <v>49349</v>
      </c>
      <c r="W122" s="143"/>
      <c r="X122" s="92">
        <v>49349</v>
      </c>
      <c r="Y122" s="22"/>
      <c r="Z122" s="57">
        <v>2035</v>
      </c>
      <c r="AA122" s="33"/>
      <c r="AB122" s="33">
        <v>0.45</v>
      </c>
      <c r="AC122" s="54"/>
      <c r="AD122" s="34">
        <v>0</v>
      </c>
      <c r="AE122" s="62">
        <f t="shared" si="40"/>
        <v>0</v>
      </c>
      <c r="AF122" s="34">
        <v>0</v>
      </c>
      <c r="AG122" s="33">
        <f t="shared" si="41"/>
        <v>0</v>
      </c>
      <c r="AH122" s="58">
        <v>0</v>
      </c>
      <c r="AI122" s="33">
        <f t="shared" si="42"/>
        <v>0</v>
      </c>
      <c r="AJ122" s="74">
        <v>1</v>
      </c>
      <c r="AK122" s="54">
        <f t="shared" si="43"/>
        <v>0</v>
      </c>
      <c r="AL122" s="34">
        <v>1</v>
      </c>
      <c r="AM122" s="59">
        <f t="shared" si="44"/>
        <v>0</v>
      </c>
      <c r="AN122" s="60" t="s">
        <v>426</v>
      </c>
      <c r="AO122" s="60"/>
      <c r="AP122" s="60"/>
      <c r="AQ122" s="60"/>
      <c r="AR122" s="60"/>
      <c r="AS122" s="60"/>
      <c r="AT122" s="60"/>
      <c r="AU122" s="60"/>
      <c r="AV122" s="49"/>
      <c r="AW122" s="49"/>
      <c r="AX122" s="49"/>
    </row>
    <row r="123" spans="1:51" ht="15" customHeight="1">
      <c r="A123" s="55" t="s">
        <v>492</v>
      </c>
      <c r="B123" s="22" t="s">
        <v>383</v>
      </c>
      <c r="C123" s="24" t="s">
        <v>476</v>
      </c>
      <c r="D123" s="24" t="s">
        <v>119</v>
      </c>
      <c r="E123" s="177">
        <v>5170317.53</v>
      </c>
      <c r="F123" s="33">
        <v>1546418.63</v>
      </c>
      <c r="G123" s="24"/>
      <c r="H123" s="24" t="s">
        <v>37</v>
      </c>
      <c r="I123" s="91">
        <v>1859946.3</v>
      </c>
      <c r="J123" s="33">
        <v>851941.3</v>
      </c>
      <c r="K123" s="34">
        <v>0</v>
      </c>
      <c r="L123" s="33">
        <f t="shared" si="38"/>
        <v>0</v>
      </c>
      <c r="M123" s="34">
        <v>1</v>
      </c>
      <c r="N123" s="33">
        <f t="shared" si="39"/>
        <v>1859946.3</v>
      </c>
      <c r="O123" s="34">
        <v>0</v>
      </c>
      <c r="P123" s="33">
        <f t="shared" si="25"/>
        <v>0</v>
      </c>
      <c r="Q123" s="34">
        <v>0</v>
      </c>
      <c r="R123" s="33">
        <f t="shared" si="26"/>
        <v>0</v>
      </c>
      <c r="S123" s="34">
        <f t="shared" si="27"/>
        <v>1</v>
      </c>
      <c r="T123" s="34"/>
      <c r="U123" s="37">
        <v>30000</v>
      </c>
      <c r="V123" s="93">
        <v>50754</v>
      </c>
      <c r="W123" s="148">
        <v>50759</v>
      </c>
      <c r="X123" s="92">
        <v>53313</v>
      </c>
      <c r="Y123" s="22"/>
      <c r="Z123" s="57">
        <v>2038</v>
      </c>
      <c r="AA123" s="37">
        <v>245</v>
      </c>
      <c r="AB123" s="33">
        <v>188</v>
      </c>
      <c r="AC123" s="54"/>
      <c r="AD123" s="34">
        <v>0</v>
      </c>
      <c r="AE123" s="62">
        <f t="shared" si="40"/>
        <v>0</v>
      </c>
      <c r="AF123" s="34">
        <v>0</v>
      </c>
      <c r="AG123" s="33">
        <f t="shared" si="41"/>
        <v>0</v>
      </c>
      <c r="AH123" s="58">
        <v>0</v>
      </c>
      <c r="AI123" s="33">
        <f t="shared" si="42"/>
        <v>0</v>
      </c>
      <c r="AJ123" s="74"/>
      <c r="AK123" s="54">
        <f t="shared" si="43"/>
        <v>0</v>
      </c>
      <c r="AL123" s="34">
        <v>1</v>
      </c>
      <c r="AM123" s="59">
        <f t="shared" si="44"/>
        <v>245</v>
      </c>
      <c r="AN123" s="60" t="s">
        <v>427</v>
      </c>
      <c r="AO123" s="60"/>
      <c r="AP123" s="60"/>
      <c r="AQ123" s="60"/>
      <c r="AR123" s="60"/>
      <c r="AS123" s="60"/>
      <c r="AT123" s="60"/>
      <c r="AU123" s="60"/>
      <c r="AV123" s="49"/>
      <c r="AW123" s="49"/>
      <c r="AX123" s="49"/>
    </row>
    <row r="124" spans="1:51" ht="15" customHeight="1">
      <c r="A124" s="55" t="s">
        <v>492</v>
      </c>
      <c r="B124" s="22" t="s">
        <v>383</v>
      </c>
      <c r="C124" s="24" t="s">
        <v>476</v>
      </c>
      <c r="D124" s="24" t="s">
        <v>120</v>
      </c>
      <c r="E124" s="177">
        <v>5197574.6399999997</v>
      </c>
      <c r="F124" s="33">
        <v>1480674.5</v>
      </c>
      <c r="G124" s="24"/>
      <c r="H124" s="24" t="s">
        <v>37</v>
      </c>
      <c r="I124" s="91">
        <v>7284.3</v>
      </c>
      <c r="J124" s="33">
        <v>6472.7</v>
      </c>
      <c r="K124" s="34">
        <v>0</v>
      </c>
      <c r="L124" s="33">
        <f t="shared" si="38"/>
        <v>0</v>
      </c>
      <c r="M124" s="34">
        <v>1</v>
      </c>
      <c r="N124" s="33">
        <f t="shared" si="39"/>
        <v>7284.3</v>
      </c>
      <c r="O124" s="34">
        <v>0</v>
      </c>
      <c r="P124" s="33">
        <f t="shared" si="25"/>
        <v>0</v>
      </c>
      <c r="Q124" s="34">
        <v>0</v>
      </c>
      <c r="R124" s="33">
        <f t="shared" si="26"/>
        <v>0</v>
      </c>
      <c r="S124" s="34">
        <f t="shared" si="27"/>
        <v>1</v>
      </c>
      <c r="T124" s="34"/>
      <c r="U124" s="33"/>
      <c r="V124" s="92">
        <v>46577</v>
      </c>
      <c r="W124" s="143"/>
      <c r="X124" s="92">
        <v>46577</v>
      </c>
      <c r="Y124" s="22"/>
      <c r="Z124" s="57">
        <v>2027</v>
      </c>
      <c r="AA124" s="33"/>
      <c r="AB124" s="33">
        <v>0.48</v>
      </c>
      <c r="AC124" s="54"/>
      <c r="AD124" s="34">
        <v>0</v>
      </c>
      <c r="AE124" s="62">
        <f t="shared" si="40"/>
        <v>0</v>
      </c>
      <c r="AF124" s="34">
        <v>0</v>
      </c>
      <c r="AG124" s="33">
        <f t="shared" si="41"/>
        <v>0</v>
      </c>
      <c r="AH124" s="58">
        <v>0</v>
      </c>
      <c r="AI124" s="33">
        <f t="shared" si="42"/>
        <v>0</v>
      </c>
      <c r="AJ124" s="74">
        <v>1</v>
      </c>
      <c r="AK124" s="54">
        <f t="shared" si="43"/>
        <v>0</v>
      </c>
      <c r="AL124" s="34">
        <v>1</v>
      </c>
      <c r="AM124" s="59">
        <f t="shared" si="44"/>
        <v>0</v>
      </c>
      <c r="AN124" s="60" t="s">
        <v>426</v>
      </c>
      <c r="AO124" s="60"/>
      <c r="AP124" s="60"/>
      <c r="AQ124" s="60"/>
      <c r="AR124" s="60"/>
      <c r="AS124" s="60"/>
      <c r="AT124" s="60"/>
      <c r="AU124" s="60"/>
      <c r="AV124" s="49"/>
      <c r="AW124" s="49"/>
      <c r="AX124" s="49"/>
    </row>
    <row r="125" spans="1:51" ht="15" customHeight="1">
      <c r="A125" s="55" t="s">
        <v>492</v>
      </c>
      <c r="B125" s="22" t="s">
        <v>383</v>
      </c>
      <c r="C125" s="24" t="s">
        <v>476</v>
      </c>
      <c r="D125" s="24" t="s">
        <v>121</v>
      </c>
      <c r="E125" s="177">
        <v>5154188.96</v>
      </c>
      <c r="F125" s="33">
        <v>1544186.62</v>
      </c>
      <c r="G125" s="24"/>
      <c r="H125" s="24" t="s">
        <v>54</v>
      </c>
      <c r="I125" s="91">
        <v>294177.7</v>
      </c>
      <c r="J125" s="33">
        <v>406449.2</v>
      </c>
      <c r="K125" s="34">
        <v>0</v>
      </c>
      <c r="L125" s="33">
        <f t="shared" si="38"/>
        <v>0</v>
      </c>
      <c r="M125" s="34">
        <v>1</v>
      </c>
      <c r="N125" s="33">
        <f t="shared" si="39"/>
        <v>294177.7</v>
      </c>
      <c r="O125" s="34">
        <v>0</v>
      </c>
      <c r="P125" s="33">
        <f t="shared" si="25"/>
        <v>0</v>
      </c>
      <c r="Q125" s="34">
        <v>0</v>
      </c>
      <c r="R125" s="33">
        <f t="shared" si="26"/>
        <v>0</v>
      </c>
      <c r="S125" s="34">
        <f t="shared" si="27"/>
        <v>1</v>
      </c>
      <c r="T125" s="34"/>
      <c r="U125" s="37">
        <v>3500</v>
      </c>
      <c r="V125" s="35">
        <v>47327</v>
      </c>
      <c r="W125" s="54"/>
      <c r="X125" s="92">
        <v>47327</v>
      </c>
      <c r="Y125" s="22"/>
      <c r="Z125" s="57">
        <v>2029</v>
      </c>
      <c r="AA125" s="33"/>
      <c r="AB125" s="33"/>
      <c r="AC125" s="54"/>
      <c r="AD125" s="34">
        <v>0</v>
      </c>
      <c r="AE125" s="62">
        <f t="shared" si="40"/>
        <v>0</v>
      </c>
      <c r="AF125" s="34">
        <v>0</v>
      </c>
      <c r="AG125" s="33">
        <f t="shared" si="41"/>
        <v>0</v>
      </c>
      <c r="AH125" s="58">
        <v>0</v>
      </c>
      <c r="AI125" s="33">
        <f t="shared" si="42"/>
        <v>0</v>
      </c>
      <c r="AJ125" s="24"/>
      <c r="AK125" s="54">
        <f t="shared" si="43"/>
        <v>0</v>
      </c>
      <c r="AL125" s="34">
        <v>0</v>
      </c>
      <c r="AM125" s="59">
        <f t="shared" si="44"/>
        <v>0</v>
      </c>
      <c r="AN125" s="68"/>
      <c r="AO125" s="68"/>
      <c r="AP125" s="60"/>
      <c r="AQ125" s="68"/>
      <c r="AR125" s="60"/>
      <c r="AS125" s="68"/>
      <c r="AT125" s="60"/>
      <c r="AU125" s="60"/>
      <c r="AV125" s="49"/>
      <c r="AW125" s="49"/>
      <c r="AX125" s="49"/>
    </row>
    <row r="126" spans="1:51" ht="15" customHeight="1">
      <c r="A126" s="55" t="s">
        <v>492</v>
      </c>
      <c r="B126" s="22" t="s">
        <v>383</v>
      </c>
      <c r="C126" s="24" t="s">
        <v>476</v>
      </c>
      <c r="D126" s="24" t="s">
        <v>122</v>
      </c>
      <c r="E126" s="177">
        <v>5158952.75</v>
      </c>
      <c r="F126" s="33">
        <v>1554752.13</v>
      </c>
      <c r="G126" s="24"/>
      <c r="H126" s="24" t="s">
        <v>53</v>
      </c>
      <c r="I126" s="24"/>
      <c r="J126" s="33"/>
      <c r="K126" s="34">
        <v>0</v>
      </c>
      <c r="L126" s="33">
        <f t="shared" si="38"/>
        <v>0</v>
      </c>
      <c r="M126" s="34">
        <v>1</v>
      </c>
      <c r="N126" s="33">
        <f t="shared" si="39"/>
        <v>0</v>
      </c>
      <c r="O126" s="34">
        <v>0</v>
      </c>
      <c r="P126" s="33">
        <f t="shared" si="25"/>
        <v>0</v>
      </c>
      <c r="Q126" s="34">
        <v>0</v>
      </c>
      <c r="R126" s="33">
        <f t="shared" si="26"/>
        <v>0</v>
      </c>
      <c r="S126" s="34">
        <f t="shared" si="27"/>
        <v>1</v>
      </c>
      <c r="T126" s="34"/>
      <c r="U126" s="33"/>
      <c r="V126" s="24"/>
      <c r="W126" s="143"/>
      <c r="X126" s="92">
        <v>44002</v>
      </c>
      <c r="Y126" s="22"/>
      <c r="Z126" s="57">
        <v>2020</v>
      </c>
      <c r="AA126" s="33"/>
      <c r="AB126" s="33"/>
      <c r="AC126" s="54"/>
      <c r="AD126" s="34">
        <v>0</v>
      </c>
      <c r="AE126" s="62">
        <f t="shared" si="40"/>
        <v>0</v>
      </c>
      <c r="AF126" s="34">
        <v>0</v>
      </c>
      <c r="AG126" s="33">
        <f t="shared" si="41"/>
        <v>0</v>
      </c>
      <c r="AH126" s="58">
        <v>0</v>
      </c>
      <c r="AI126" s="33">
        <f t="shared" si="42"/>
        <v>0</v>
      </c>
      <c r="AJ126" s="24"/>
      <c r="AK126" s="54">
        <f t="shared" si="43"/>
        <v>0</v>
      </c>
      <c r="AL126" s="34">
        <v>0</v>
      </c>
      <c r="AM126" s="59">
        <f t="shared" si="44"/>
        <v>0</v>
      </c>
      <c r="AN126" s="60"/>
      <c r="AO126" s="60"/>
      <c r="AP126" s="60"/>
      <c r="AQ126" s="60"/>
      <c r="AR126" s="60"/>
      <c r="AS126" s="60"/>
      <c r="AT126" s="60"/>
      <c r="AU126" s="60"/>
      <c r="AV126" s="49"/>
      <c r="AW126" s="49"/>
      <c r="AX126" s="49"/>
    </row>
    <row r="127" spans="1:51" ht="15" customHeight="1">
      <c r="A127" s="55" t="s">
        <v>491</v>
      </c>
      <c r="B127" s="22" t="s">
        <v>383</v>
      </c>
      <c r="C127" s="24" t="s">
        <v>476</v>
      </c>
      <c r="D127" s="24" t="s">
        <v>109</v>
      </c>
      <c r="E127" s="177">
        <v>5633606.4000000004</v>
      </c>
      <c r="F127" s="33">
        <v>1712529.9</v>
      </c>
      <c r="G127" s="65" t="s">
        <v>318</v>
      </c>
      <c r="H127" s="94" t="s">
        <v>37</v>
      </c>
      <c r="I127" s="56">
        <v>491948</v>
      </c>
      <c r="J127" s="33">
        <v>508017</v>
      </c>
      <c r="K127" s="34"/>
      <c r="L127" s="33">
        <f t="shared" si="38"/>
        <v>0</v>
      </c>
      <c r="M127" s="34"/>
      <c r="N127" s="33">
        <f t="shared" si="39"/>
        <v>0</v>
      </c>
      <c r="O127" s="34"/>
      <c r="P127" s="33">
        <f t="shared" si="25"/>
        <v>0</v>
      </c>
      <c r="Q127" s="34">
        <v>1</v>
      </c>
      <c r="R127" s="33">
        <f t="shared" si="26"/>
        <v>491948</v>
      </c>
      <c r="S127" s="34">
        <f t="shared" si="27"/>
        <v>1</v>
      </c>
      <c r="T127" s="34">
        <v>0.8</v>
      </c>
      <c r="U127" s="71">
        <v>693500</v>
      </c>
      <c r="V127" s="24"/>
      <c r="W127" s="143"/>
      <c r="X127" s="24"/>
      <c r="Y127" s="22"/>
      <c r="Z127" s="57"/>
      <c r="AA127" s="33"/>
      <c r="AB127" s="33"/>
      <c r="AC127" s="54"/>
      <c r="AD127" s="34"/>
      <c r="AE127" s="62">
        <f t="shared" si="40"/>
        <v>0</v>
      </c>
      <c r="AF127" s="34"/>
      <c r="AG127" s="33">
        <f t="shared" si="41"/>
        <v>0</v>
      </c>
      <c r="AH127" s="58"/>
      <c r="AI127" s="33">
        <f t="shared" si="42"/>
        <v>0</v>
      </c>
      <c r="AJ127" s="24"/>
      <c r="AK127" s="54">
        <f t="shared" si="43"/>
        <v>0</v>
      </c>
      <c r="AL127" s="34"/>
      <c r="AM127" s="59">
        <f t="shared" si="44"/>
        <v>0</v>
      </c>
      <c r="AN127" s="60"/>
      <c r="AO127" s="60"/>
      <c r="AP127" s="60"/>
      <c r="AQ127" s="60"/>
      <c r="AR127" s="60"/>
      <c r="AS127" s="60"/>
      <c r="AT127" s="60"/>
      <c r="AU127" s="60"/>
      <c r="AV127" s="49"/>
      <c r="AW127" s="49"/>
      <c r="AX127" s="49"/>
    </row>
    <row r="128" spans="1:51" ht="15" customHeight="1">
      <c r="A128" s="55" t="s">
        <v>491</v>
      </c>
      <c r="B128" s="22" t="s">
        <v>383</v>
      </c>
      <c r="C128" s="24" t="s">
        <v>476</v>
      </c>
      <c r="D128" s="35" t="s">
        <v>110</v>
      </c>
      <c r="E128" s="177">
        <v>5614496.7000000002</v>
      </c>
      <c r="F128" s="33">
        <v>1708920.8</v>
      </c>
      <c r="G128" s="65" t="s">
        <v>318</v>
      </c>
      <c r="H128" s="94" t="s">
        <v>54</v>
      </c>
      <c r="I128" s="21">
        <v>2007567</v>
      </c>
      <c r="J128" s="33">
        <v>2676045</v>
      </c>
      <c r="K128" s="34"/>
      <c r="L128" s="33">
        <f t="shared" si="38"/>
        <v>0</v>
      </c>
      <c r="M128" s="34"/>
      <c r="N128" s="33">
        <f t="shared" si="39"/>
        <v>0</v>
      </c>
      <c r="O128" s="34"/>
      <c r="P128" s="33">
        <f t="shared" si="25"/>
        <v>0</v>
      </c>
      <c r="Q128" s="34">
        <v>1</v>
      </c>
      <c r="R128" s="33">
        <f t="shared" si="26"/>
        <v>2007567</v>
      </c>
      <c r="S128" s="34">
        <f t="shared" si="27"/>
        <v>1</v>
      </c>
      <c r="T128" s="34">
        <v>0.5</v>
      </c>
      <c r="U128" s="71">
        <v>3449980</v>
      </c>
      <c r="V128" s="24"/>
      <c r="W128" s="143"/>
      <c r="X128" s="24">
        <v>2015</v>
      </c>
      <c r="Y128" s="72" t="s">
        <v>380</v>
      </c>
      <c r="Z128" s="57">
        <v>2015</v>
      </c>
      <c r="AA128" s="33"/>
      <c r="AB128" s="33"/>
      <c r="AC128" s="54"/>
      <c r="AD128" s="34"/>
      <c r="AE128" s="62">
        <f t="shared" si="40"/>
        <v>0</v>
      </c>
      <c r="AF128" s="34"/>
      <c r="AG128" s="33">
        <f t="shared" si="41"/>
        <v>0</v>
      </c>
      <c r="AH128" s="58"/>
      <c r="AI128" s="33">
        <f t="shared" si="42"/>
        <v>0</v>
      </c>
      <c r="AJ128" s="24"/>
      <c r="AK128" s="54">
        <f t="shared" si="43"/>
        <v>0</v>
      </c>
      <c r="AL128" s="34"/>
      <c r="AM128" s="59">
        <f t="shared" si="44"/>
        <v>0</v>
      </c>
      <c r="AN128" s="60"/>
      <c r="AO128" s="60"/>
      <c r="AP128" s="60"/>
      <c r="AQ128" s="60"/>
      <c r="AR128" s="60"/>
      <c r="AS128" s="60"/>
      <c r="AT128" s="60"/>
      <c r="AU128" s="60"/>
      <c r="AV128" s="49"/>
      <c r="AW128" s="49"/>
      <c r="AX128" s="49"/>
      <c r="AY128" s="11"/>
    </row>
    <row r="129" spans="1:56" ht="15" customHeight="1">
      <c r="A129" s="55" t="s">
        <v>491</v>
      </c>
      <c r="B129" s="22" t="s">
        <v>383</v>
      </c>
      <c r="C129" s="24" t="s">
        <v>476</v>
      </c>
      <c r="D129" s="35" t="s">
        <v>111</v>
      </c>
      <c r="E129" s="177">
        <v>5634297</v>
      </c>
      <c r="F129" s="33">
        <v>1698714</v>
      </c>
      <c r="G129" s="65" t="s">
        <v>318</v>
      </c>
      <c r="H129" s="94" t="s">
        <v>53</v>
      </c>
      <c r="I129" s="21">
        <v>658697</v>
      </c>
      <c r="J129" s="33">
        <v>3615977</v>
      </c>
      <c r="K129" s="34">
        <v>1</v>
      </c>
      <c r="L129" s="33">
        <f t="shared" si="38"/>
        <v>658697</v>
      </c>
      <c r="M129" s="34"/>
      <c r="N129" s="33">
        <f t="shared" si="39"/>
        <v>0</v>
      </c>
      <c r="O129" s="34"/>
      <c r="P129" s="33">
        <f t="shared" si="25"/>
        <v>0</v>
      </c>
      <c r="Q129" s="34"/>
      <c r="R129" s="33">
        <f t="shared" si="26"/>
        <v>0</v>
      </c>
      <c r="S129" s="34">
        <f t="shared" si="27"/>
        <v>1</v>
      </c>
      <c r="T129" s="34">
        <v>0.01</v>
      </c>
      <c r="U129" s="27">
        <v>188500</v>
      </c>
      <c r="V129" s="24"/>
      <c r="W129" s="143"/>
      <c r="X129" s="24">
        <v>2029</v>
      </c>
      <c r="Y129" s="22"/>
      <c r="Z129" s="57">
        <v>2029</v>
      </c>
      <c r="AA129" s="33"/>
      <c r="AB129" s="33"/>
      <c r="AC129" s="54"/>
      <c r="AD129" s="34"/>
      <c r="AE129" s="62">
        <f t="shared" si="40"/>
        <v>0</v>
      </c>
      <c r="AF129" s="34"/>
      <c r="AG129" s="33">
        <f t="shared" si="41"/>
        <v>0</v>
      </c>
      <c r="AH129" s="58"/>
      <c r="AI129" s="33">
        <f t="shared" si="42"/>
        <v>0</v>
      </c>
      <c r="AJ129" s="24"/>
      <c r="AK129" s="54">
        <f t="shared" si="43"/>
        <v>0</v>
      </c>
      <c r="AL129" s="34"/>
      <c r="AM129" s="59">
        <f t="shared" si="44"/>
        <v>0</v>
      </c>
      <c r="AN129" s="60"/>
      <c r="AO129" s="60"/>
      <c r="AP129" s="60"/>
      <c r="AQ129" s="60"/>
      <c r="AR129" s="60"/>
      <c r="AS129" s="60"/>
      <c r="AT129" s="77"/>
      <c r="AU129" s="77"/>
      <c r="AV129" s="7"/>
      <c r="AW129" s="49"/>
      <c r="AX129" s="49"/>
      <c r="AY129" s="11"/>
    </row>
    <row r="130" spans="1:56" ht="15" customHeight="1">
      <c r="A130" s="55" t="s">
        <v>491</v>
      </c>
      <c r="B130" s="22" t="s">
        <v>383</v>
      </c>
      <c r="C130" s="24" t="s">
        <v>476</v>
      </c>
      <c r="D130" s="35" t="s">
        <v>112</v>
      </c>
      <c r="E130" s="177">
        <v>5618649.5</v>
      </c>
      <c r="F130" s="33">
        <v>1696200.5</v>
      </c>
      <c r="G130" s="65" t="s">
        <v>318</v>
      </c>
      <c r="H130" s="94" t="s">
        <v>54</v>
      </c>
      <c r="I130" s="21">
        <v>226775</v>
      </c>
      <c r="J130" s="33">
        <v>132768</v>
      </c>
      <c r="K130" s="34">
        <v>1</v>
      </c>
      <c r="L130" s="33">
        <f t="shared" si="38"/>
        <v>226775</v>
      </c>
      <c r="M130" s="34"/>
      <c r="N130" s="33">
        <f t="shared" si="39"/>
        <v>0</v>
      </c>
      <c r="O130" s="34"/>
      <c r="P130" s="33">
        <f t="shared" si="25"/>
        <v>0</v>
      </c>
      <c r="Q130" s="34"/>
      <c r="R130" s="33">
        <f t="shared" si="26"/>
        <v>0</v>
      </c>
      <c r="S130" s="34">
        <f t="shared" si="27"/>
        <v>1</v>
      </c>
      <c r="T130" s="34">
        <v>0.3</v>
      </c>
      <c r="U130" s="27">
        <v>492750</v>
      </c>
      <c r="V130" s="24"/>
      <c r="W130" s="54"/>
      <c r="X130" s="24">
        <v>2029</v>
      </c>
      <c r="Y130" s="22"/>
      <c r="Z130" s="24">
        <v>2029</v>
      </c>
      <c r="AA130" s="33"/>
      <c r="AB130" s="33"/>
      <c r="AC130" s="54"/>
      <c r="AD130" s="34"/>
      <c r="AE130" s="62">
        <f t="shared" si="40"/>
        <v>0</v>
      </c>
      <c r="AF130" s="34"/>
      <c r="AG130" s="33">
        <f t="shared" si="41"/>
        <v>0</v>
      </c>
      <c r="AH130" s="58"/>
      <c r="AI130" s="33">
        <f t="shared" si="42"/>
        <v>0</v>
      </c>
      <c r="AJ130" s="24"/>
      <c r="AK130" s="54">
        <f t="shared" si="43"/>
        <v>0</v>
      </c>
      <c r="AL130" s="34"/>
      <c r="AM130" s="59">
        <f t="shared" si="44"/>
        <v>0</v>
      </c>
      <c r="AN130" s="60"/>
      <c r="AO130" s="60"/>
      <c r="AP130" s="60"/>
      <c r="AQ130" s="60"/>
      <c r="AR130" s="60"/>
      <c r="AS130" s="60"/>
      <c r="AT130" s="60"/>
      <c r="AU130" s="60"/>
      <c r="AV130" s="49"/>
      <c r="AW130" s="49"/>
      <c r="AX130" s="49"/>
      <c r="AY130" s="11"/>
    </row>
    <row r="131" spans="1:56" ht="15" customHeight="1">
      <c r="A131" s="55" t="s">
        <v>491</v>
      </c>
      <c r="B131" s="22" t="s">
        <v>383</v>
      </c>
      <c r="C131" s="24" t="s">
        <v>476</v>
      </c>
      <c r="D131" s="35" t="s">
        <v>113</v>
      </c>
      <c r="E131" s="177">
        <v>5597327</v>
      </c>
      <c r="F131" s="33">
        <v>1727197.5</v>
      </c>
      <c r="G131" s="65" t="s">
        <v>318</v>
      </c>
      <c r="H131" s="94" t="s">
        <v>37</v>
      </c>
      <c r="I131" s="21">
        <v>189267</v>
      </c>
      <c r="J131" s="33">
        <v>205209</v>
      </c>
      <c r="K131" s="34">
        <v>1</v>
      </c>
      <c r="L131" s="33">
        <f t="shared" si="38"/>
        <v>189267</v>
      </c>
      <c r="M131" s="34"/>
      <c r="N131" s="33">
        <f t="shared" si="39"/>
        <v>0</v>
      </c>
      <c r="O131" s="34"/>
      <c r="P131" s="33">
        <f t="shared" ref="P131:P194" si="45">I131*O131</f>
        <v>0</v>
      </c>
      <c r="Q131" s="34"/>
      <c r="R131" s="33">
        <f t="shared" ref="R131:R194" si="46">I131*Q131</f>
        <v>0</v>
      </c>
      <c r="S131" s="34">
        <f t="shared" ref="S131:S194" si="47">SUM(K131,M131,O131,Q131)</f>
        <v>1</v>
      </c>
      <c r="T131" s="34">
        <v>0.01</v>
      </c>
      <c r="U131" s="27">
        <v>554070</v>
      </c>
      <c r="V131" s="24"/>
      <c r="W131" s="143"/>
      <c r="X131" s="24">
        <v>2028</v>
      </c>
      <c r="Y131" s="22"/>
      <c r="Z131" s="24">
        <v>2028</v>
      </c>
      <c r="AA131" s="33"/>
      <c r="AB131" s="33"/>
      <c r="AC131" s="54"/>
      <c r="AD131" s="34"/>
      <c r="AE131" s="62">
        <f t="shared" si="40"/>
        <v>0</v>
      </c>
      <c r="AF131" s="34"/>
      <c r="AG131" s="33">
        <f t="shared" si="41"/>
        <v>0</v>
      </c>
      <c r="AH131" s="58"/>
      <c r="AI131" s="33">
        <f t="shared" si="42"/>
        <v>0</v>
      </c>
      <c r="AJ131" s="24"/>
      <c r="AK131" s="54">
        <f t="shared" si="43"/>
        <v>0</v>
      </c>
      <c r="AL131" s="34"/>
      <c r="AM131" s="59">
        <f t="shared" si="44"/>
        <v>0</v>
      </c>
      <c r="AN131" s="60"/>
      <c r="AO131" s="60"/>
      <c r="AP131" s="60"/>
      <c r="AQ131" s="60"/>
      <c r="AR131" s="60"/>
      <c r="AS131" s="60"/>
      <c r="AT131" s="60"/>
      <c r="AU131" s="60"/>
      <c r="AV131" s="49"/>
      <c r="AW131" s="49"/>
      <c r="AX131" s="49"/>
    </row>
    <row r="132" spans="1:56" ht="15" customHeight="1">
      <c r="A132" s="55" t="s">
        <v>491</v>
      </c>
      <c r="B132" s="22" t="s">
        <v>383</v>
      </c>
      <c r="C132" s="24" t="s">
        <v>476</v>
      </c>
      <c r="D132" s="24" t="s">
        <v>114</v>
      </c>
      <c r="E132" s="177">
        <v>5596482.2999999998</v>
      </c>
      <c r="F132" s="33">
        <v>1739077.6</v>
      </c>
      <c r="G132" s="65" t="s">
        <v>318</v>
      </c>
      <c r="H132" s="94" t="s">
        <v>54</v>
      </c>
      <c r="I132" s="21">
        <v>82463</v>
      </c>
      <c r="J132" s="33">
        <v>30953</v>
      </c>
      <c r="K132" s="34">
        <v>1</v>
      </c>
      <c r="L132" s="33">
        <f t="shared" si="38"/>
        <v>82463</v>
      </c>
      <c r="M132" s="34"/>
      <c r="N132" s="33">
        <f t="shared" si="39"/>
        <v>0</v>
      </c>
      <c r="O132" s="34"/>
      <c r="P132" s="33">
        <f t="shared" si="45"/>
        <v>0</v>
      </c>
      <c r="Q132" s="34"/>
      <c r="R132" s="33">
        <f t="shared" si="46"/>
        <v>0</v>
      </c>
      <c r="S132" s="34">
        <f t="shared" si="47"/>
        <v>1</v>
      </c>
      <c r="T132" s="34">
        <v>0.05</v>
      </c>
      <c r="U132" s="27">
        <v>438000</v>
      </c>
      <c r="V132" s="24"/>
      <c r="W132" s="54"/>
      <c r="X132" s="24">
        <v>2016</v>
      </c>
      <c r="Y132" s="72" t="s">
        <v>380</v>
      </c>
      <c r="Z132" s="24">
        <v>2016</v>
      </c>
      <c r="AA132" s="33"/>
      <c r="AB132" s="33"/>
      <c r="AC132" s="54"/>
      <c r="AD132" s="34"/>
      <c r="AE132" s="62">
        <f t="shared" si="40"/>
        <v>0</v>
      </c>
      <c r="AF132" s="34"/>
      <c r="AG132" s="33">
        <f t="shared" si="41"/>
        <v>0</v>
      </c>
      <c r="AH132" s="58"/>
      <c r="AI132" s="33">
        <f t="shared" si="42"/>
        <v>0</v>
      </c>
      <c r="AJ132" s="24"/>
      <c r="AK132" s="54">
        <f t="shared" si="43"/>
        <v>0</v>
      </c>
      <c r="AL132" s="34"/>
      <c r="AM132" s="59">
        <f t="shared" si="44"/>
        <v>0</v>
      </c>
      <c r="AN132" s="60"/>
      <c r="AO132" s="60"/>
      <c r="AP132" s="60"/>
      <c r="AQ132" s="60"/>
      <c r="AR132" s="60"/>
      <c r="AS132" s="60"/>
      <c r="AT132" s="60"/>
      <c r="AU132" s="60"/>
      <c r="AV132" s="49"/>
      <c r="AW132" s="49"/>
      <c r="AX132" s="49"/>
    </row>
    <row r="133" spans="1:56" ht="15" customHeight="1">
      <c r="A133" s="55" t="s">
        <v>491</v>
      </c>
      <c r="B133" s="22" t="s">
        <v>383</v>
      </c>
      <c r="C133" s="24" t="s">
        <v>476</v>
      </c>
      <c r="D133" s="24" t="s">
        <v>115</v>
      </c>
      <c r="E133" s="177">
        <v>5633512.5</v>
      </c>
      <c r="F133" s="33">
        <v>1671778</v>
      </c>
      <c r="G133" s="65" t="s">
        <v>318</v>
      </c>
      <c r="H133" s="94" t="s">
        <v>37</v>
      </c>
      <c r="I133" s="21">
        <v>236793</v>
      </c>
      <c r="J133" s="33">
        <v>137439</v>
      </c>
      <c r="K133" s="34">
        <v>0.2</v>
      </c>
      <c r="L133" s="33">
        <f t="shared" si="38"/>
        <v>47358.600000000006</v>
      </c>
      <c r="M133" s="34">
        <v>0.8</v>
      </c>
      <c r="N133" s="33">
        <f t="shared" si="39"/>
        <v>189434.40000000002</v>
      </c>
      <c r="O133" s="34"/>
      <c r="P133" s="33">
        <f t="shared" si="45"/>
        <v>0</v>
      </c>
      <c r="Q133" s="34"/>
      <c r="R133" s="33">
        <f t="shared" si="46"/>
        <v>0</v>
      </c>
      <c r="S133" s="34">
        <f t="shared" si="47"/>
        <v>1</v>
      </c>
      <c r="T133" s="34">
        <v>0.03</v>
      </c>
      <c r="U133" s="27">
        <v>570312</v>
      </c>
      <c r="V133" s="24"/>
      <c r="W133" s="143"/>
      <c r="X133" s="24">
        <v>2018</v>
      </c>
      <c r="Y133" s="22"/>
      <c r="Z133" s="24">
        <v>2018</v>
      </c>
      <c r="AA133" s="33"/>
      <c r="AB133" s="33"/>
      <c r="AC133" s="54"/>
      <c r="AD133" s="34"/>
      <c r="AE133" s="62">
        <f t="shared" si="40"/>
        <v>0</v>
      </c>
      <c r="AF133" s="34"/>
      <c r="AG133" s="33">
        <f t="shared" si="41"/>
        <v>0</v>
      </c>
      <c r="AH133" s="58"/>
      <c r="AI133" s="33">
        <f t="shared" si="42"/>
        <v>0</v>
      </c>
      <c r="AJ133" s="24"/>
      <c r="AK133" s="54">
        <f t="shared" si="43"/>
        <v>0</v>
      </c>
      <c r="AL133" s="34"/>
      <c r="AM133" s="59">
        <f t="shared" si="44"/>
        <v>0</v>
      </c>
      <c r="AN133" s="60"/>
      <c r="AO133" s="60"/>
      <c r="AP133" s="60"/>
      <c r="AQ133" s="60"/>
      <c r="AR133" s="60"/>
      <c r="AS133" s="60"/>
      <c r="AT133" s="60"/>
      <c r="AU133" s="60"/>
      <c r="AV133" s="49"/>
      <c r="AW133" s="49"/>
      <c r="AX133" s="49"/>
    </row>
    <row r="134" spans="1:56" ht="15" customHeight="1">
      <c r="A134" s="55" t="s">
        <v>491</v>
      </c>
      <c r="B134" s="22" t="s">
        <v>383</v>
      </c>
      <c r="C134" s="24" t="s">
        <v>476</v>
      </c>
      <c r="D134" s="24" t="s">
        <v>428</v>
      </c>
      <c r="E134" s="177">
        <v>5585827.3600000003</v>
      </c>
      <c r="F134" s="33">
        <v>1749210.91</v>
      </c>
      <c r="G134" s="33" t="s">
        <v>392</v>
      </c>
      <c r="H134" s="94" t="s">
        <v>53</v>
      </c>
      <c r="I134" s="95">
        <v>12775</v>
      </c>
      <c r="J134" s="33">
        <v>12775</v>
      </c>
      <c r="K134" s="34"/>
      <c r="L134" s="33">
        <f t="shared" si="38"/>
        <v>0</v>
      </c>
      <c r="M134" s="34">
        <v>1</v>
      </c>
      <c r="N134" s="33">
        <f t="shared" si="39"/>
        <v>12775</v>
      </c>
      <c r="O134" s="34"/>
      <c r="P134" s="33">
        <f t="shared" si="45"/>
        <v>0</v>
      </c>
      <c r="Q134" s="34"/>
      <c r="R134" s="33">
        <f t="shared" si="46"/>
        <v>0</v>
      </c>
      <c r="S134" s="34">
        <f t="shared" si="47"/>
        <v>1</v>
      </c>
      <c r="T134" s="34">
        <v>0</v>
      </c>
      <c r="U134" s="27">
        <v>12000</v>
      </c>
      <c r="V134" s="24"/>
      <c r="W134" s="143"/>
      <c r="X134" s="24">
        <v>2020</v>
      </c>
      <c r="Y134" s="22"/>
      <c r="Z134" s="24">
        <v>2020</v>
      </c>
      <c r="AA134" s="33"/>
      <c r="AB134" s="33"/>
      <c r="AC134" s="54"/>
      <c r="AD134" s="34"/>
      <c r="AE134" s="62">
        <f t="shared" si="40"/>
        <v>0</v>
      </c>
      <c r="AF134" s="34"/>
      <c r="AG134" s="33">
        <f t="shared" si="41"/>
        <v>0</v>
      </c>
      <c r="AH134" s="58"/>
      <c r="AI134" s="33">
        <f t="shared" si="42"/>
        <v>0</v>
      </c>
      <c r="AJ134" s="24"/>
      <c r="AK134" s="54">
        <f t="shared" si="43"/>
        <v>0</v>
      </c>
      <c r="AL134" s="34"/>
      <c r="AM134" s="59">
        <f t="shared" si="44"/>
        <v>0</v>
      </c>
      <c r="AN134" s="67"/>
      <c r="AO134" s="67"/>
      <c r="AP134" s="67"/>
      <c r="AQ134" s="67"/>
      <c r="AR134" s="67"/>
      <c r="AS134" s="67"/>
      <c r="AT134" s="60"/>
      <c r="AU134" s="60"/>
      <c r="AV134" s="49"/>
      <c r="AW134" s="49"/>
      <c r="AX134" s="49"/>
    </row>
    <row r="135" spans="1:56" ht="15" customHeight="1">
      <c r="A135" s="55" t="s">
        <v>490</v>
      </c>
      <c r="B135" s="22" t="s">
        <v>383</v>
      </c>
      <c r="C135" s="24" t="s">
        <v>476</v>
      </c>
      <c r="D135" s="35" t="s">
        <v>105</v>
      </c>
      <c r="E135" s="177">
        <v>5766953</v>
      </c>
      <c r="F135" s="33">
        <v>1850419</v>
      </c>
      <c r="G135" s="33"/>
      <c r="H135" s="24" t="s">
        <v>37</v>
      </c>
      <c r="I135" s="21">
        <v>841061</v>
      </c>
      <c r="J135" s="33">
        <v>36960</v>
      </c>
      <c r="K135" s="34">
        <v>1</v>
      </c>
      <c r="L135" s="33">
        <f t="shared" si="38"/>
        <v>841061</v>
      </c>
      <c r="M135" s="34"/>
      <c r="N135" s="33">
        <f t="shared" si="39"/>
        <v>0</v>
      </c>
      <c r="O135" s="34"/>
      <c r="P135" s="33">
        <f t="shared" si="45"/>
        <v>0</v>
      </c>
      <c r="Q135" s="34"/>
      <c r="R135" s="33">
        <f t="shared" si="46"/>
        <v>0</v>
      </c>
      <c r="S135" s="34">
        <f t="shared" si="47"/>
        <v>1</v>
      </c>
      <c r="T135" s="34">
        <v>0.02</v>
      </c>
      <c r="U135" s="33">
        <v>2190000</v>
      </c>
      <c r="V135" s="35">
        <v>40908</v>
      </c>
      <c r="W135" s="54"/>
      <c r="X135" s="35">
        <v>40908</v>
      </c>
      <c r="Y135" s="72" t="s">
        <v>379</v>
      </c>
      <c r="Z135" s="57">
        <v>2011</v>
      </c>
      <c r="AA135" s="33">
        <v>600</v>
      </c>
      <c r="AB135" s="33">
        <v>600</v>
      </c>
      <c r="AC135" s="54"/>
      <c r="AD135" s="34"/>
      <c r="AE135" s="62">
        <f t="shared" si="40"/>
        <v>0</v>
      </c>
      <c r="AF135" s="34">
        <v>1</v>
      </c>
      <c r="AG135" s="33">
        <f t="shared" si="41"/>
        <v>600</v>
      </c>
      <c r="AH135" s="58"/>
      <c r="AI135" s="33">
        <f t="shared" si="42"/>
        <v>0</v>
      </c>
      <c r="AJ135" s="24"/>
      <c r="AK135" s="54">
        <f t="shared" si="43"/>
        <v>0</v>
      </c>
      <c r="AL135" s="34"/>
      <c r="AM135" s="59">
        <f t="shared" si="44"/>
        <v>0</v>
      </c>
      <c r="AN135" s="68"/>
      <c r="AO135" s="68"/>
      <c r="AP135" s="60"/>
      <c r="AQ135" s="68"/>
      <c r="AR135" s="60"/>
      <c r="AS135" s="68"/>
      <c r="AT135" s="68"/>
      <c r="AU135" s="60"/>
      <c r="AV135" s="49"/>
      <c r="AW135" s="49"/>
      <c r="AX135" s="49"/>
    </row>
    <row r="136" spans="1:56" ht="15" customHeight="1">
      <c r="A136" s="55" t="s">
        <v>490</v>
      </c>
      <c r="B136" s="22" t="s">
        <v>383</v>
      </c>
      <c r="C136" s="24" t="s">
        <v>476</v>
      </c>
      <c r="D136" s="35" t="s">
        <v>106</v>
      </c>
      <c r="E136" s="177">
        <v>5786539</v>
      </c>
      <c r="F136" s="33">
        <v>1844363</v>
      </c>
      <c r="G136" s="33"/>
      <c r="H136" s="24" t="s">
        <v>54</v>
      </c>
      <c r="I136" s="21">
        <v>404275</v>
      </c>
      <c r="J136" s="33">
        <v>12336</v>
      </c>
      <c r="K136" s="34">
        <v>1</v>
      </c>
      <c r="L136" s="33">
        <f t="shared" si="38"/>
        <v>404275</v>
      </c>
      <c r="M136" s="34"/>
      <c r="N136" s="33">
        <f t="shared" si="39"/>
        <v>0</v>
      </c>
      <c r="O136" s="34"/>
      <c r="P136" s="33">
        <f t="shared" si="45"/>
        <v>0</v>
      </c>
      <c r="Q136" s="34"/>
      <c r="R136" s="33">
        <f t="shared" si="46"/>
        <v>0</v>
      </c>
      <c r="S136" s="34">
        <f t="shared" si="47"/>
        <v>1</v>
      </c>
      <c r="T136" s="34">
        <v>0.02</v>
      </c>
      <c r="U136" s="33">
        <v>912500</v>
      </c>
      <c r="V136" s="35">
        <v>41729</v>
      </c>
      <c r="W136" s="54"/>
      <c r="X136" s="35">
        <v>41729</v>
      </c>
      <c r="Y136" s="72" t="s">
        <v>379</v>
      </c>
      <c r="Z136" s="57">
        <v>2014</v>
      </c>
      <c r="AA136" s="33"/>
      <c r="AB136" s="33"/>
      <c r="AC136" s="54"/>
      <c r="AD136" s="34"/>
      <c r="AE136" s="62">
        <f t="shared" si="40"/>
        <v>0</v>
      </c>
      <c r="AF136" s="34"/>
      <c r="AG136" s="33">
        <f t="shared" si="41"/>
        <v>0</v>
      </c>
      <c r="AH136" s="58"/>
      <c r="AI136" s="33">
        <f t="shared" si="42"/>
        <v>0</v>
      </c>
      <c r="AJ136" s="24"/>
      <c r="AK136" s="54">
        <f t="shared" si="43"/>
        <v>0</v>
      </c>
      <c r="AL136" s="34"/>
      <c r="AM136" s="59">
        <f t="shared" si="44"/>
        <v>0</v>
      </c>
      <c r="AN136" s="60"/>
      <c r="AO136" s="60"/>
      <c r="AP136" s="60"/>
      <c r="AQ136" s="60"/>
      <c r="AR136" s="60"/>
      <c r="AS136" s="60"/>
      <c r="AT136" s="60"/>
      <c r="AU136" s="60"/>
      <c r="AV136" s="49"/>
      <c r="AW136" s="49"/>
      <c r="AX136" s="49"/>
    </row>
    <row r="137" spans="1:56" ht="15" customHeight="1">
      <c r="A137" s="55" t="s">
        <v>490</v>
      </c>
      <c r="B137" s="22" t="s">
        <v>383</v>
      </c>
      <c r="C137" s="24" t="s">
        <v>476</v>
      </c>
      <c r="D137" s="24" t="s">
        <v>107</v>
      </c>
      <c r="E137" s="176">
        <v>5793828</v>
      </c>
      <c r="F137" s="27">
        <v>1842043</v>
      </c>
      <c r="G137" s="65" t="s">
        <v>408</v>
      </c>
      <c r="H137" s="24" t="s">
        <v>54</v>
      </c>
      <c r="I137" s="21">
        <v>86955</v>
      </c>
      <c r="J137" s="33">
        <v>2748</v>
      </c>
      <c r="K137" s="34">
        <v>1</v>
      </c>
      <c r="L137" s="33">
        <f t="shared" si="38"/>
        <v>86955</v>
      </c>
      <c r="M137" s="34"/>
      <c r="N137" s="33">
        <f t="shared" si="39"/>
        <v>0</v>
      </c>
      <c r="O137" s="34"/>
      <c r="P137" s="33">
        <f t="shared" si="45"/>
        <v>0</v>
      </c>
      <c r="Q137" s="34"/>
      <c r="R137" s="33">
        <f t="shared" si="46"/>
        <v>0</v>
      </c>
      <c r="S137" s="34">
        <f t="shared" si="47"/>
        <v>1</v>
      </c>
      <c r="T137" s="34">
        <v>0.02</v>
      </c>
      <c r="U137" s="33">
        <v>328500</v>
      </c>
      <c r="V137" s="35">
        <v>45261</v>
      </c>
      <c r="W137" s="143"/>
      <c r="X137" s="35">
        <v>45261</v>
      </c>
      <c r="Y137" s="72"/>
      <c r="Z137" s="57">
        <v>2023</v>
      </c>
      <c r="AA137" s="33"/>
      <c r="AB137" s="33"/>
      <c r="AC137" s="54"/>
      <c r="AD137" s="34"/>
      <c r="AE137" s="62">
        <f t="shared" si="40"/>
        <v>0</v>
      </c>
      <c r="AF137" s="34"/>
      <c r="AG137" s="33">
        <f t="shared" si="41"/>
        <v>0</v>
      </c>
      <c r="AH137" s="58"/>
      <c r="AI137" s="33">
        <f t="shared" si="42"/>
        <v>0</v>
      </c>
      <c r="AJ137" s="24"/>
      <c r="AK137" s="54">
        <f t="shared" si="43"/>
        <v>0</v>
      </c>
      <c r="AL137" s="34"/>
      <c r="AM137" s="59">
        <f t="shared" si="44"/>
        <v>0</v>
      </c>
      <c r="AN137" s="68"/>
      <c r="AO137" s="68"/>
      <c r="AP137" s="68"/>
      <c r="AQ137" s="68"/>
      <c r="AR137" s="68"/>
      <c r="AS137" s="68"/>
      <c r="AT137" s="68"/>
      <c r="AU137" s="68"/>
      <c r="AV137" s="12"/>
      <c r="AW137" s="49"/>
      <c r="AX137" s="49"/>
    </row>
    <row r="138" spans="1:56" ht="15" customHeight="1">
      <c r="A138" s="55" t="s">
        <v>490</v>
      </c>
      <c r="B138" s="22" t="s">
        <v>383</v>
      </c>
      <c r="C138" s="24" t="s">
        <v>476</v>
      </c>
      <c r="D138" s="24" t="s">
        <v>108</v>
      </c>
      <c r="E138" s="177">
        <v>5783446</v>
      </c>
      <c r="F138" s="33">
        <v>1832280</v>
      </c>
      <c r="G138" s="33"/>
      <c r="H138" s="24" t="s">
        <v>53</v>
      </c>
      <c r="I138" s="21">
        <v>18495</v>
      </c>
      <c r="J138" s="33">
        <v>768</v>
      </c>
      <c r="K138" s="34"/>
      <c r="L138" s="33">
        <f t="shared" si="38"/>
        <v>0</v>
      </c>
      <c r="M138" s="34">
        <v>1</v>
      </c>
      <c r="N138" s="33">
        <f t="shared" si="39"/>
        <v>18495</v>
      </c>
      <c r="O138" s="34"/>
      <c r="P138" s="33">
        <f t="shared" si="45"/>
        <v>0</v>
      </c>
      <c r="Q138" s="34"/>
      <c r="R138" s="33">
        <f t="shared" si="46"/>
        <v>0</v>
      </c>
      <c r="S138" s="34">
        <f t="shared" si="47"/>
        <v>1</v>
      </c>
      <c r="T138" s="34"/>
      <c r="U138" s="33">
        <v>43800</v>
      </c>
      <c r="V138" s="35">
        <v>44013</v>
      </c>
      <c r="W138" s="143"/>
      <c r="X138" s="35">
        <v>44013</v>
      </c>
      <c r="Y138" s="72"/>
      <c r="Z138" s="57">
        <v>2020</v>
      </c>
      <c r="AA138" s="33"/>
      <c r="AB138" s="33"/>
      <c r="AC138" s="54"/>
      <c r="AD138" s="34"/>
      <c r="AE138" s="62">
        <f t="shared" si="40"/>
        <v>0</v>
      </c>
      <c r="AF138" s="34"/>
      <c r="AG138" s="33">
        <f t="shared" si="41"/>
        <v>0</v>
      </c>
      <c r="AH138" s="58"/>
      <c r="AI138" s="33">
        <f t="shared" si="42"/>
        <v>0</v>
      </c>
      <c r="AJ138" s="24"/>
      <c r="AK138" s="54">
        <f t="shared" si="43"/>
        <v>0</v>
      </c>
      <c r="AL138" s="34"/>
      <c r="AM138" s="59">
        <f t="shared" si="44"/>
        <v>0</v>
      </c>
      <c r="AN138" s="60"/>
      <c r="AO138" s="60"/>
      <c r="AP138" s="60"/>
      <c r="AQ138" s="60"/>
      <c r="AR138" s="60"/>
      <c r="AS138" s="60"/>
      <c r="AT138" s="60"/>
      <c r="AU138" s="60"/>
      <c r="AV138" s="49"/>
      <c r="AW138" s="49"/>
      <c r="AX138" s="49"/>
    </row>
    <row r="139" spans="1:56" ht="15" customHeight="1">
      <c r="A139" s="84" t="s">
        <v>328</v>
      </c>
      <c r="B139" s="22" t="s">
        <v>383</v>
      </c>
      <c r="C139" s="24" t="s">
        <v>476</v>
      </c>
      <c r="D139" s="33" t="s">
        <v>329</v>
      </c>
      <c r="E139" s="176">
        <v>5446831.29</v>
      </c>
      <c r="F139" s="27">
        <v>1809232.33</v>
      </c>
      <c r="G139" s="65" t="s">
        <v>408</v>
      </c>
      <c r="H139" s="33" t="s">
        <v>37</v>
      </c>
      <c r="I139" s="96">
        <v>279955</v>
      </c>
      <c r="J139" s="33">
        <v>405200</v>
      </c>
      <c r="K139" s="97">
        <v>1</v>
      </c>
      <c r="L139" s="33">
        <f t="shared" ref="L139:L162" si="48">$I139*K139</f>
        <v>279955</v>
      </c>
      <c r="M139" s="34"/>
      <c r="N139" s="33">
        <f t="shared" ref="N139:N162" si="49">$I139*M139</f>
        <v>0</v>
      </c>
      <c r="O139" s="34"/>
      <c r="P139" s="33">
        <f t="shared" si="45"/>
        <v>0</v>
      </c>
      <c r="Q139" s="34"/>
      <c r="R139" s="33">
        <f t="shared" si="46"/>
        <v>0</v>
      </c>
      <c r="S139" s="34">
        <f t="shared" si="47"/>
        <v>1</v>
      </c>
      <c r="T139" s="34">
        <v>0.05</v>
      </c>
      <c r="U139" s="27">
        <v>492750</v>
      </c>
      <c r="V139" s="35">
        <v>55257</v>
      </c>
      <c r="W139" s="86"/>
      <c r="X139" s="35"/>
      <c r="Y139" s="22" t="s">
        <v>436</v>
      </c>
      <c r="Z139" s="57">
        <v>2051</v>
      </c>
      <c r="AA139" s="27">
        <v>60.526315789473685</v>
      </c>
      <c r="AB139" s="33"/>
      <c r="AC139" s="86"/>
      <c r="AD139" s="34"/>
      <c r="AE139" s="62">
        <f t="shared" si="40"/>
        <v>0</v>
      </c>
      <c r="AF139" s="34"/>
      <c r="AG139" s="33">
        <f t="shared" si="41"/>
        <v>0</v>
      </c>
      <c r="AH139" s="58"/>
      <c r="AI139" s="33">
        <v>0</v>
      </c>
      <c r="AJ139" s="33" t="s">
        <v>330</v>
      </c>
      <c r="AK139" s="86"/>
      <c r="AL139" s="34">
        <v>1</v>
      </c>
      <c r="AM139" s="59">
        <f t="shared" si="44"/>
        <v>60.526315789473685</v>
      </c>
      <c r="AN139" s="85" t="s">
        <v>444</v>
      </c>
      <c r="AO139" s="85"/>
      <c r="AP139" s="85"/>
      <c r="AQ139" s="85"/>
      <c r="AR139" s="85"/>
      <c r="AS139" s="85"/>
      <c r="AT139" s="85"/>
      <c r="AU139" s="85"/>
      <c r="AV139" s="50"/>
      <c r="AW139" s="50"/>
      <c r="AX139" s="50"/>
      <c r="AY139" s="14"/>
      <c r="AZ139" s="14"/>
      <c r="BA139" s="14"/>
      <c r="BB139" s="14"/>
      <c r="BC139" s="14"/>
      <c r="BD139" s="14"/>
    </row>
    <row r="140" spans="1:56" ht="15" customHeight="1">
      <c r="A140" s="84" t="s">
        <v>328</v>
      </c>
      <c r="B140" s="22" t="s">
        <v>383</v>
      </c>
      <c r="C140" s="24" t="s">
        <v>476</v>
      </c>
      <c r="D140" s="33" t="s">
        <v>331</v>
      </c>
      <c r="E140" s="176">
        <v>5443481.6600000001</v>
      </c>
      <c r="F140" s="27">
        <v>1795044.02</v>
      </c>
      <c r="G140" s="65" t="s">
        <v>408</v>
      </c>
      <c r="H140" s="33" t="s">
        <v>37</v>
      </c>
      <c r="I140" s="27">
        <v>628898.94660000002</v>
      </c>
      <c r="J140" s="33">
        <v>960000</v>
      </c>
      <c r="K140" s="97">
        <v>1</v>
      </c>
      <c r="L140" s="33">
        <f t="shared" si="48"/>
        <v>628898.94660000002</v>
      </c>
      <c r="M140" s="34"/>
      <c r="N140" s="33">
        <f t="shared" si="49"/>
        <v>0</v>
      </c>
      <c r="O140" s="34"/>
      <c r="P140" s="33">
        <f t="shared" si="45"/>
        <v>0</v>
      </c>
      <c r="Q140" s="34"/>
      <c r="R140" s="33">
        <f t="shared" si="46"/>
        <v>0</v>
      </c>
      <c r="S140" s="34">
        <f t="shared" si="47"/>
        <v>1</v>
      </c>
      <c r="T140" s="34">
        <v>0.05</v>
      </c>
      <c r="U140" s="27">
        <v>1277500</v>
      </c>
      <c r="V140" s="35">
        <v>41146</v>
      </c>
      <c r="W140" s="86"/>
      <c r="X140" s="35"/>
      <c r="Y140" s="22" t="s">
        <v>424</v>
      </c>
      <c r="Z140" s="57">
        <v>2012</v>
      </c>
      <c r="AA140" s="27">
        <v>56.81818181818182</v>
      </c>
      <c r="AB140" s="33"/>
      <c r="AC140" s="86"/>
      <c r="AD140" s="34"/>
      <c r="AE140" s="62">
        <f t="shared" si="40"/>
        <v>0</v>
      </c>
      <c r="AF140" s="34"/>
      <c r="AG140" s="33">
        <f t="shared" si="41"/>
        <v>0</v>
      </c>
      <c r="AH140" s="58"/>
      <c r="AI140" s="33">
        <v>0</v>
      </c>
      <c r="AJ140" s="33" t="s">
        <v>332</v>
      </c>
      <c r="AK140" s="86"/>
      <c r="AL140" s="34">
        <v>1</v>
      </c>
      <c r="AM140" s="59">
        <f t="shared" si="44"/>
        <v>56.81818181818182</v>
      </c>
      <c r="AN140" s="85" t="s">
        <v>444</v>
      </c>
      <c r="AO140" s="85"/>
      <c r="AP140" s="85"/>
      <c r="AQ140" s="85"/>
      <c r="AR140" s="85"/>
      <c r="AS140" s="85"/>
      <c r="AT140" s="85"/>
      <c r="AU140" s="85"/>
      <c r="AV140" s="50"/>
      <c r="AW140" s="50"/>
      <c r="AX140" s="50"/>
      <c r="AY140" s="14"/>
      <c r="AZ140" s="14"/>
      <c r="BA140" s="14"/>
      <c r="BB140" s="14"/>
      <c r="BC140" s="14"/>
      <c r="BD140" s="14"/>
    </row>
    <row r="141" spans="1:56" ht="15" customHeight="1">
      <c r="A141" s="84" t="s">
        <v>328</v>
      </c>
      <c r="B141" s="22" t="s">
        <v>383</v>
      </c>
      <c r="C141" s="24" t="s">
        <v>476</v>
      </c>
      <c r="D141" s="33" t="s">
        <v>333</v>
      </c>
      <c r="E141" s="176">
        <v>5434930.96</v>
      </c>
      <c r="F141" s="27">
        <v>1804580.73</v>
      </c>
      <c r="G141" s="65" t="s">
        <v>408</v>
      </c>
      <c r="H141" s="33" t="s">
        <v>37</v>
      </c>
      <c r="I141" s="96">
        <v>138061.83300000001</v>
      </c>
      <c r="J141" s="33">
        <v>185000</v>
      </c>
      <c r="K141" s="97">
        <v>1</v>
      </c>
      <c r="L141" s="33">
        <f t="shared" si="48"/>
        <v>138061.83300000001</v>
      </c>
      <c r="M141" s="34"/>
      <c r="N141" s="33">
        <f t="shared" si="49"/>
        <v>0</v>
      </c>
      <c r="O141" s="34"/>
      <c r="P141" s="33">
        <f t="shared" si="45"/>
        <v>0</v>
      </c>
      <c r="Q141" s="34"/>
      <c r="R141" s="33">
        <f t="shared" si="46"/>
        <v>0</v>
      </c>
      <c r="S141" s="34">
        <f t="shared" si="47"/>
        <v>1</v>
      </c>
      <c r="T141" s="34">
        <v>0.05</v>
      </c>
      <c r="U141" s="27">
        <v>447125</v>
      </c>
      <c r="V141" s="35">
        <v>55257</v>
      </c>
      <c r="W141" s="86"/>
      <c r="X141" s="35"/>
      <c r="Y141" s="22" t="s">
        <v>424</v>
      </c>
      <c r="Z141" s="57">
        <v>2051</v>
      </c>
      <c r="AA141" s="27">
        <v>28.75</v>
      </c>
      <c r="AB141" s="33"/>
      <c r="AC141" s="86"/>
      <c r="AD141" s="34"/>
      <c r="AE141" s="62">
        <f t="shared" si="40"/>
        <v>0</v>
      </c>
      <c r="AF141" s="34"/>
      <c r="AG141" s="33">
        <f t="shared" si="41"/>
        <v>0</v>
      </c>
      <c r="AH141" s="58"/>
      <c r="AI141" s="33">
        <v>0</v>
      </c>
      <c r="AJ141" s="33" t="s">
        <v>330</v>
      </c>
      <c r="AK141" s="86"/>
      <c r="AL141" s="34">
        <v>1</v>
      </c>
      <c r="AM141" s="59">
        <f t="shared" si="44"/>
        <v>28.75</v>
      </c>
      <c r="AN141" s="85" t="s">
        <v>444</v>
      </c>
      <c r="AO141" s="85"/>
      <c r="AP141" s="85"/>
      <c r="AQ141" s="85"/>
      <c r="AR141" s="85"/>
      <c r="AS141" s="85"/>
      <c r="AT141" s="85"/>
      <c r="AU141" s="85"/>
      <c r="AV141" s="50"/>
      <c r="AW141" s="50"/>
      <c r="AX141" s="50"/>
      <c r="AY141" s="14"/>
      <c r="AZ141" s="14"/>
      <c r="BA141" s="14"/>
      <c r="BB141" s="14"/>
      <c r="BC141" s="14"/>
      <c r="BD141" s="14"/>
    </row>
    <row r="142" spans="1:56" ht="15" customHeight="1">
      <c r="A142" s="84" t="s">
        <v>328</v>
      </c>
      <c r="B142" s="22" t="s">
        <v>383</v>
      </c>
      <c r="C142" s="24" t="s">
        <v>476</v>
      </c>
      <c r="D142" s="33" t="s">
        <v>334</v>
      </c>
      <c r="E142" s="176">
        <v>5415582.0700000003</v>
      </c>
      <c r="F142" s="27">
        <v>1779476.86</v>
      </c>
      <c r="G142" s="65" t="s">
        <v>408</v>
      </c>
      <c r="H142" s="33" t="s">
        <v>37</v>
      </c>
      <c r="I142" s="96">
        <v>6044.82</v>
      </c>
      <c r="J142" s="33">
        <v>5200</v>
      </c>
      <c r="K142" s="97">
        <v>0</v>
      </c>
      <c r="L142" s="33">
        <f t="shared" si="48"/>
        <v>0</v>
      </c>
      <c r="M142" s="34">
        <v>1</v>
      </c>
      <c r="N142" s="33">
        <f t="shared" si="49"/>
        <v>6044.82</v>
      </c>
      <c r="O142" s="34"/>
      <c r="P142" s="33">
        <f t="shared" si="45"/>
        <v>0</v>
      </c>
      <c r="Q142" s="34"/>
      <c r="R142" s="33">
        <f t="shared" si="46"/>
        <v>0</v>
      </c>
      <c r="S142" s="34">
        <f t="shared" si="47"/>
        <v>1</v>
      </c>
      <c r="T142" s="34">
        <v>0</v>
      </c>
      <c r="U142" s="27">
        <v>18250</v>
      </c>
      <c r="V142" s="35">
        <v>45930</v>
      </c>
      <c r="W142" s="86"/>
      <c r="X142" s="35"/>
      <c r="Y142" s="22" t="s">
        <v>424</v>
      </c>
      <c r="Z142" s="57">
        <v>2025</v>
      </c>
      <c r="AA142" s="27">
        <v>1.2000000000000001E-3</v>
      </c>
      <c r="AB142" s="33"/>
      <c r="AC142" s="86"/>
      <c r="AD142" s="34"/>
      <c r="AE142" s="62">
        <f t="shared" si="40"/>
        <v>0</v>
      </c>
      <c r="AF142" s="34"/>
      <c r="AG142" s="33">
        <f t="shared" si="41"/>
        <v>0</v>
      </c>
      <c r="AH142" s="58"/>
      <c r="AI142" s="33">
        <v>0</v>
      </c>
      <c r="AJ142" s="33"/>
      <c r="AK142" s="86"/>
      <c r="AL142" s="34">
        <v>1</v>
      </c>
      <c r="AM142" s="59">
        <f t="shared" si="44"/>
        <v>1.2000000000000001E-3</v>
      </c>
      <c r="AN142" s="85" t="s">
        <v>444</v>
      </c>
      <c r="AO142" s="85"/>
      <c r="AP142" s="85"/>
      <c r="AQ142" s="85"/>
      <c r="AR142" s="85"/>
      <c r="AS142" s="85"/>
      <c r="AT142" s="85"/>
      <c r="AU142" s="85"/>
      <c r="AV142" s="50"/>
      <c r="AW142" s="50"/>
      <c r="AX142" s="50"/>
      <c r="AY142" s="14"/>
      <c r="AZ142" s="14"/>
      <c r="BA142" s="14"/>
      <c r="BB142" s="14"/>
      <c r="BC142" s="14"/>
      <c r="BD142" s="14"/>
    </row>
    <row r="143" spans="1:56" ht="15" customHeight="1">
      <c r="A143" s="84" t="s">
        <v>354</v>
      </c>
      <c r="B143" s="22" t="s">
        <v>383</v>
      </c>
      <c r="C143" s="24" t="s">
        <v>474</v>
      </c>
      <c r="D143" s="24" t="s">
        <v>335</v>
      </c>
      <c r="E143" s="177">
        <v>4914249.5999999996</v>
      </c>
      <c r="F143" s="33">
        <v>1257531.2</v>
      </c>
      <c r="G143" s="33" t="s">
        <v>393</v>
      </c>
      <c r="H143" s="24" t="s">
        <v>54</v>
      </c>
      <c r="I143" s="24"/>
      <c r="J143" s="33">
        <v>66430</v>
      </c>
      <c r="K143" s="34">
        <v>1</v>
      </c>
      <c r="L143" s="33">
        <f t="shared" si="48"/>
        <v>0</v>
      </c>
      <c r="M143" s="34">
        <v>0</v>
      </c>
      <c r="N143" s="33">
        <f t="shared" si="49"/>
        <v>0</v>
      </c>
      <c r="O143" s="34"/>
      <c r="P143" s="33">
        <f t="shared" si="45"/>
        <v>0</v>
      </c>
      <c r="Q143" s="34"/>
      <c r="R143" s="33">
        <f t="shared" si="46"/>
        <v>0</v>
      </c>
      <c r="S143" s="34">
        <f t="shared" si="47"/>
        <v>1</v>
      </c>
      <c r="T143" s="34">
        <v>0</v>
      </c>
      <c r="U143" s="33">
        <f>500*365</f>
        <v>182500</v>
      </c>
      <c r="V143" s="24"/>
      <c r="W143" s="54"/>
      <c r="X143" s="35">
        <v>45324</v>
      </c>
      <c r="Y143" s="72"/>
      <c r="Z143" s="24">
        <v>2024</v>
      </c>
      <c r="AA143" s="33"/>
      <c r="AB143" s="33"/>
      <c r="AC143" s="54"/>
      <c r="AD143" s="34"/>
      <c r="AE143" s="62">
        <f t="shared" si="40"/>
        <v>0</v>
      </c>
      <c r="AF143" s="34"/>
      <c r="AG143" s="33">
        <f t="shared" si="41"/>
        <v>0</v>
      </c>
      <c r="AH143" s="58"/>
      <c r="AI143" s="33"/>
      <c r="AJ143" s="24"/>
      <c r="AK143" s="54"/>
      <c r="AL143" s="34"/>
      <c r="AM143" s="59">
        <f t="shared" si="44"/>
        <v>0</v>
      </c>
      <c r="AN143" s="22"/>
      <c r="AO143" s="22"/>
      <c r="AP143" s="22"/>
      <c r="AQ143" s="22"/>
      <c r="AR143" s="22"/>
      <c r="AS143" s="22"/>
      <c r="AT143" s="22"/>
      <c r="AU143" s="22"/>
      <c r="AV143" s="45"/>
      <c r="AW143" s="45"/>
      <c r="AX143" s="45"/>
      <c r="AY143" s="13"/>
      <c r="AZ143" s="13"/>
      <c r="BA143" s="13"/>
      <c r="BB143" s="13"/>
      <c r="BC143" s="13"/>
      <c r="BD143" s="13"/>
    </row>
    <row r="144" spans="1:56" s="49" customFormat="1" ht="15" customHeight="1">
      <c r="A144" s="84" t="s">
        <v>354</v>
      </c>
      <c r="B144" s="22" t="s">
        <v>383</v>
      </c>
      <c r="C144" s="24" t="s">
        <v>474</v>
      </c>
      <c r="D144" s="24" t="s">
        <v>336</v>
      </c>
      <c r="E144" s="177">
        <v>4879257.9000000004</v>
      </c>
      <c r="F144" s="33">
        <v>1246677.5</v>
      </c>
      <c r="G144" s="33" t="s">
        <v>393</v>
      </c>
      <c r="H144" s="24" t="s">
        <v>54</v>
      </c>
      <c r="I144" s="24"/>
      <c r="J144" s="33">
        <v>3650</v>
      </c>
      <c r="K144" s="34"/>
      <c r="L144" s="33">
        <f t="shared" si="48"/>
        <v>0</v>
      </c>
      <c r="M144" s="34"/>
      <c r="N144" s="33">
        <f t="shared" si="49"/>
        <v>0</v>
      </c>
      <c r="O144" s="34"/>
      <c r="P144" s="33">
        <f t="shared" si="45"/>
        <v>0</v>
      </c>
      <c r="Q144" s="34">
        <v>1</v>
      </c>
      <c r="R144" s="33">
        <f t="shared" si="46"/>
        <v>0</v>
      </c>
      <c r="S144" s="34">
        <f t="shared" si="47"/>
        <v>1</v>
      </c>
      <c r="T144" s="34">
        <v>0</v>
      </c>
      <c r="U144" s="33">
        <f>40*365</f>
        <v>14600</v>
      </c>
      <c r="V144" s="24"/>
      <c r="W144" s="54"/>
      <c r="X144" s="35">
        <v>40967</v>
      </c>
      <c r="Y144" s="72"/>
      <c r="Z144" s="57">
        <v>2012</v>
      </c>
      <c r="AA144" s="33"/>
      <c r="AB144" s="33"/>
      <c r="AC144" s="54"/>
      <c r="AD144" s="34"/>
      <c r="AE144" s="62">
        <f t="shared" si="40"/>
        <v>0</v>
      </c>
      <c r="AF144" s="34"/>
      <c r="AG144" s="33">
        <f t="shared" si="41"/>
        <v>0</v>
      </c>
      <c r="AH144" s="58"/>
      <c r="AI144" s="33"/>
      <c r="AJ144" s="24"/>
      <c r="AK144" s="54"/>
      <c r="AL144" s="34"/>
      <c r="AM144" s="59">
        <f t="shared" si="44"/>
        <v>0</v>
      </c>
      <c r="AN144" s="22"/>
      <c r="AO144" s="22"/>
      <c r="AP144" s="22"/>
      <c r="AQ144" s="22"/>
      <c r="AR144" s="22"/>
      <c r="AS144" s="22"/>
      <c r="AT144" s="22"/>
      <c r="AU144" s="22"/>
      <c r="AV144" s="45"/>
      <c r="AW144" s="45"/>
      <c r="AX144" s="45"/>
      <c r="AY144" s="45"/>
      <c r="AZ144" s="45"/>
      <c r="BA144" s="45"/>
      <c r="BB144" s="45"/>
      <c r="BC144" s="45"/>
      <c r="BD144" s="45"/>
    </row>
    <row r="145" spans="1:56" ht="15" customHeight="1">
      <c r="A145" s="84" t="s">
        <v>354</v>
      </c>
      <c r="B145" s="22" t="s">
        <v>383</v>
      </c>
      <c r="C145" s="24" t="s">
        <v>474</v>
      </c>
      <c r="D145" s="24" t="s">
        <v>337</v>
      </c>
      <c r="E145" s="177">
        <v>4923675</v>
      </c>
      <c r="F145" s="33">
        <v>1245344.8999999999</v>
      </c>
      <c r="G145" s="33" t="s">
        <v>393</v>
      </c>
      <c r="H145" s="24" t="s">
        <v>54</v>
      </c>
      <c r="I145" s="24"/>
      <c r="J145" s="33">
        <v>51830</v>
      </c>
      <c r="K145" s="97">
        <v>0</v>
      </c>
      <c r="L145" s="33">
        <f t="shared" si="48"/>
        <v>0</v>
      </c>
      <c r="M145" s="34">
        <v>1</v>
      </c>
      <c r="N145" s="33">
        <f t="shared" si="49"/>
        <v>0</v>
      </c>
      <c r="O145" s="34"/>
      <c r="P145" s="33">
        <f t="shared" si="45"/>
        <v>0</v>
      </c>
      <c r="Q145" s="34"/>
      <c r="R145" s="33">
        <f t="shared" si="46"/>
        <v>0</v>
      </c>
      <c r="S145" s="34">
        <f t="shared" si="47"/>
        <v>1</v>
      </c>
      <c r="T145" s="34">
        <v>0</v>
      </c>
      <c r="U145" s="33">
        <f>280*365</f>
        <v>102200</v>
      </c>
      <c r="V145" s="24"/>
      <c r="W145" s="54"/>
      <c r="X145" s="35">
        <v>48172</v>
      </c>
      <c r="Y145" s="72"/>
      <c r="Z145" s="57">
        <v>2031</v>
      </c>
      <c r="AA145" s="33"/>
      <c r="AB145" s="33"/>
      <c r="AC145" s="54"/>
      <c r="AD145" s="34"/>
      <c r="AE145" s="62">
        <f t="shared" ref="AE145:AE176" si="50">AA145*AD145</f>
        <v>0</v>
      </c>
      <c r="AF145" s="34"/>
      <c r="AG145" s="33">
        <f t="shared" si="41"/>
        <v>0</v>
      </c>
      <c r="AH145" s="58"/>
      <c r="AI145" s="33"/>
      <c r="AJ145" s="24"/>
      <c r="AK145" s="54"/>
      <c r="AL145" s="34"/>
      <c r="AM145" s="59">
        <f t="shared" ref="AM145:AM176" si="51">AA145*AL145</f>
        <v>0</v>
      </c>
      <c r="AN145" s="22"/>
      <c r="AO145" s="22"/>
      <c r="AP145" s="22"/>
      <c r="AQ145" s="22"/>
      <c r="AR145" s="22"/>
      <c r="AS145" s="22"/>
      <c r="AT145" s="22"/>
      <c r="AU145" s="22"/>
      <c r="AV145" s="45"/>
      <c r="AW145" s="45"/>
      <c r="AX145" s="45"/>
      <c r="AY145" s="13"/>
      <c r="AZ145" s="13"/>
      <c r="BA145" s="13"/>
      <c r="BB145" s="13"/>
      <c r="BC145" s="13"/>
      <c r="BD145" s="13"/>
    </row>
    <row r="146" spans="1:56" ht="15" customHeight="1">
      <c r="A146" s="84" t="s">
        <v>354</v>
      </c>
      <c r="B146" s="22" t="s">
        <v>383</v>
      </c>
      <c r="C146" s="24" t="s">
        <v>474</v>
      </c>
      <c r="D146" s="24" t="s">
        <v>338</v>
      </c>
      <c r="E146" s="177">
        <v>4939634.4000000004</v>
      </c>
      <c r="F146" s="33">
        <v>1180566.8</v>
      </c>
      <c r="G146" s="33" t="s">
        <v>393</v>
      </c>
      <c r="H146" s="24" t="s">
        <v>54</v>
      </c>
      <c r="I146" s="24"/>
      <c r="J146" s="33">
        <v>22995</v>
      </c>
      <c r="K146" s="34">
        <v>1</v>
      </c>
      <c r="L146" s="33">
        <f t="shared" si="48"/>
        <v>0</v>
      </c>
      <c r="M146" s="34">
        <v>0</v>
      </c>
      <c r="N146" s="33">
        <f t="shared" si="49"/>
        <v>0</v>
      </c>
      <c r="O146" s="34"/>
      <c r="P146" s="33">
        <f t="shared" si="45"/>
        <v>0</v>
      </c>
      <c r="Q146" s="34"/>
      <c r="R146" s="33">
        <f t="shared" si="46"/>
        <v>0</v>
      </c>
      <c r="S146" s="34">
        <f t="shared" si="47"/>
        <v>1</v>
      </c>
      <c r="T146" s="34">
        <v>0</v>
      </c>
      <c r="U146" s="33">
        <f>750*365</f>
        <v>273750</v>
      </c>
      <c r="V146" s="24"/>
      <c r="W146" s="54"/>
      <c r="X146" s="35">
        <v>45541</v>
      </c>
      <c r="Y146" s="72"/>
      <c r="Z146" s="57">
        <v>2024</v>
      </c>
      <c r="AA146" s="33"/>
      <c r="AB146" s="33"/>
      <c r="AC146" s="54"/>
      <c r="AD146" s="34"/>
      <c r="AE146" s="62">
        <f t="shared" si="50"/>
        <v>0</v>
      </c>
      <c r="AF146" s="34"/>
      <c r="AG146" s="33">
        <f t="shared" si="41"/>
        <v>0</v>
      </c>
      <c r="AH146" s="58"/>
      <c r="AI146" s="33"/>
      <c r="AJ146" s="24"/>
      <c r="AK146" s="54"/>
      <c r="AL146" s="34"/>
      <c r="AM146" s="59">
        <f t="shared" si="51"/>
        <v>0</v>
      </c>
      <c r="AN146" s="22"/>
      <c r="AO146" s="22"/>
      <c r="AP146" s="22"/>
      <c r="AQ146" s="22"/>
      <c r="AR146" s="22"/>
      <c r="AS146" s="22"/>
      <c r="AT146" s="22"/>
      <c r="AU146" s="22"/>
      <c r="AV146" s="45"/>
      <c r="AW146" s="45"/>
      <c r="AX146" s="45"/>
      <c r="AY146" s="13"/>
      <c r="AZ146" s="13"/>
      <c r="BA146" s="13"/>
      <c r="BB146" s="13"/>
      <c r="BC146" s="13"/>
      <c r="BD146" s="13"/>
    </row>
    <row r="147" spans="1:56" ht="15" customHeight="1">
      <c r="A147" s="84" t="s">
        <v>354</v>
      </c>
      <c r="B147" s="22" t="s">
        <v>383</v>
      </c>
      <c r="C147" s="24" t="s">
        <v>474</v>
      </c>
      <c r="D147" s="24" t="s">
        <v>339</v>
      </c>
      <c r="E147" s="177">
        <v>4896484.5999999996</v>
      </c>
      <c r="F147" s="33">
        <v>1214889.6000000001</v>
      </c>
      <c r="G147" s="33" t="s">
        <v>393</v>
      </c>
      <c r="H147" s="24" t="s">
        <v>54</v>
      </c>
      <c r="I147" s="24"/>
      <c r="J147" s="33">
        <v>47085</v>
      </c>
      <c r="K147" s="34">
        <v>1</v>
      </c>
      <c r="L147" s="33">
        <f t="shared" si="48"/>
        <v>0</v>
      </c>
      <c r="M147" s="34">
        <v>0</v>
      </c>
      <c r="N147" s="33">
        <f t="shared" si="49"/>
        <v>0</v>
      </c>
      <c r="O147" s="34"/>
      <c r="P147" s="33">
        <f t="shared" si="45"/>
        <v>0</v>
      </c>
      <c r="Q147" s="34"/>
      <c r="R147" s="33">
        <f t="shared" si="46"/>
        <v>0</v>
      </c>
      <c r="S147" s="34">
        <f t="shared" si="47"/>
        <v>1</v>
      </c>
      <c r="T147" s="34">
        <v>0</v>
      </c>
      <c r="U147" s="33">
        <f>700*365</f>
        <v>255500</v>
      </c>
      <c r="V147" s="24"/>
      <c r="W147" s="54"/>
      <c r="X147" s="35">
        <v>42127</v>
      </c>
      <c r="Y147" s="72"/>
      <c r="Z147" s="57">
        <v>2015</v>
      </c>
      <c r="AA147" s="33"/>
      <c r="AB147" s="33"/>
      <c r="AC147" s="54"/>
      <c r="AD147" s="34"/>
      <c r="AE147" s="62">
        <f t="shared" si="50"/>
        <v>0</v>
      </c>
      <c r="AF147" s="34"/>
      <c r="AG147" s="33">
        <f t="shared" si="41"/>
        <v>0</v>
      </c>
      <c r="AH147" s="58"/>
      <c r="AI147" s="33"/>
      <c r="AJ147" s="24"/>
      <c r="AK147" s="54"/>
      <c r="AL147" s="34"/>
      <c r="AM147" s="59">
        <f t="shared" si="51"/>
        <v>0</v>
      </c>
      <c r="AN147" s="22"/>
      <c r="AO147" s="22"/>
      <c r="AP147" s="22"/>
      <c r="AQ147" s="22"/>
      <c r="AR147" s="22"/>
      <c r="AS147" s="22"/>
      <c r="AT147" s="22"/>
      <c r="AU147" s="22"/>
      <c r="AV147" s="45"/>
      <c r="AW147" s="45"/>
      <c r="AX147" s="45"/>
      <c r="AY147" s="13"/>
      <c r="AZ147" s="13"/>
      <c r="BA147" s="13"/>
      <c r="BB147" s="13"/>
      <c r="BC147" s="13"/>
      <c r="BD147" s="13"/>
    </row>
    <row r="148" spans="1:56" ht="15" customHeight="1">
      <c r="A148" s="84" t="s">
        <v>354</v>
      </c>
      <c r="B148" s="22" t="s">
        <v>383</v>
      </c>
      <c r="C148" s="24" t="s">
        <v>474</v>
      </c>
      <c r="D148" s="24" t="s">
        <v>340</v>
      </c>
      <c r="E148" s="177">
        <v>4900286.0999999996</v>
      </c>
      <c r="F148" s="33">
        <v>1208104.1000000001</v>
      </c>
      <c r="G148" s="33" t="s">
        <v>393</v>
      </c>
      <c r="H148" s="24" t="s">
        <v>54</v>
      </c>
      <c r="I148" s="24"/>
      <c r="J148" s="33">
        <v>79570</v>
      </c>
      <c r="K148" s="34">
        <v>1</v>
      </c>
      <c r="L148" s="33">
        <f t="shared" si="48"/>
        <v>0</v>
      </c>
      <c r="M148" s="34">
        <v>0</v>
      </c>
      <c r="N148" s="33">
        <f t="shared" si="49"/>
        <v>0</v>
      </c>
      <c r="O148" s="34"/>
      <c r="P148" s="33">
        <f t="shared" si="45"/>
        <v>0</v>
      </c>
      <c r="Q148" s="34"/>
      <c r="R148" s="33">
        <f t="shared" si="46"/>
        <v>0</v>
      </c>
      <c r="S148" s="34">
        <f t="shared" si="47"/>
        <v>1</v>
      </c>
      <c r="T148" s="34">
        <v>0</v>
      </c>
      <c r="U148" s="33">
        <f>480*365</f>
        <v>175200</v>
      </c>
      <c r="V148" s="24"/>
      <c r="W148" s="54"/>
      <c r="X148" s="35">
        <v>41744</v>
      </c>
      <c r="Y148" s="72"/>
      <c r="Z148" s="57">
        <v>2014</v>
      </c>
      <c r="AA148" s="33"/>
      <c r="AB148" s="33"/>
      <c r="AC148" s="54"/>
      <c r="AD148" s="34"/>
      <c r="AE148" s="62">
        <f t="shared" si="50"/>
        <v>0</v>
      </c>
      <c r="AF148" s="34"/>
      <c r="AG148" s="33">
        <f t="shared" si="41"/>
        <v>0</v>
      </c>
      <c r="AH148" s="58"/>
      <c r="AI148" s="33"/>
      <c r="AJ148" s="24"/>
      <c r="AK148" s="54"/>
      <c r="AL148" s="34"/>
      <c r="AM148" s="59">
        <f t="shared" si="51"/>
        <v>0</v>
      </c>
      <c r="AN148" s="22"/>
      <c r="AO148" s="22"/>
      <c r="AP148" s="22"/>
      <c r="AQ148" s="22"/>
      <c r="AR148" s="22"/>
      <c r="AS148" s="22"/>
      <c r="AT148" s="22"/>
      <c r="AU148" s="22"/>
      <c r="AV148" s="45"/>
      <c r="AW148" s="45"/>
      <c r="AX148" s="45"/>
      <c r="AY148" s="13"/>
      <c r="AZ148" s="13"/>
      <c r="BA148" s="13"/>
      <c r="BB148" s="13"/>
      <c r="BC148" s="13"/>
      <c r="BD148" s="13"/>
    </row>
    <row r="149" spans="1:56" ht="15" customHeight="1">
      <c r="A149" s="84" t="s">
        <v>354</v>
      </c>
      <c r="B149" s="22" t="s">
        <v>383</v>
      </c>
      <c r="C149" s="24" t="s">
        <v>474</v>
      </c>
      <c r="D149" s="24" t="s">
        <v>341</v>
      </c>
      <c r="E149" s="177">
        <v>4877607.0999999996</v>
      </c>
      <c r="F149" s="33">
        <v>1215070.3</v>
      </c>
      <c r="G149" s="33" t="s">
        <v>393</v>
      </c>
      <c r="H149" s="24" t="s">
        <v>54</v>
      </c>
      <c r="I149" s="24"/>
      <c r="J149" s="33">
        <v>73000</v>
      </c>
      <c r="K149" s="34"/>
      <c r="L149" s="33">
        <f t="shared" si="48"/>
        <v>0</v>
      </c>
      <c r="M149" s="34">
        <v>1</v>
      </c>
      <c r="N149" s="33">
        <f t="shared" si="49"/>
        <v>0</v>
      </c>
      <c r="O149" s="34"/>
      <c r="P149" s="33">
        <f t="shared" si="45"/>
        <v>0</v>
      </c>
      <c r="Q149" s="34"/>
      <c r="R149" s="33">
        <f t="shared" si="46"/>
        <v>0</v>
      </c>
      <c r="S149" s="34">
        <f t="shared" si="47"/>
        <v>1</v>
      </c>
      <c r="T149" s="34">
        <v>0</v>
      </c>
      <c r="U149" s="33">
        <f>920*365</f>
        <v>335800</v>
      </c>
      <c r="V149" s="24"/>
      <c r="W149" s="54"/>
      <c r="X149" s="35">
        <v>48229</v>
      </c>
      <c r="Y149" s="72"/>
      <c r="Z149" s="57">
        <v>2032</v>
      </c>
      <c r="AA149" s="33"/>
      <c r="AB149" s="33"/>
      <c r="AC149" s="54"/>
      <c r="AD149" s="34"/>
      <c r="AE149" s="62">
        <f t="shared" si="50"/>
        <v>0</v>
      </c>
      <c r="AF149" s="34"/>
      <c r="AG149" s="33">
        <f t="shared" si="41"/>
        <v>0</v>
      </c>
      <c r="AH149" s="58"/>
      <c r="AI149" s="33"/>
      <c r="AJ149" s="24"/>
      <c r="AK149" s="54"/>
      <c r="AL149" s="34"/>
      <c r="AM149" s="59">
        <f t="shared" si="51"/>
        <v>0</v>
      </c>
      <c r="AN149" s="22"/>
      <c r="AO149" s="22"/>
      <c r="AP149" s="22"/>
      <c r="AQ149" s="22"/>
      <c r="AR149" s="22"/>
      <c r="AS149" s="22"/>
      <c r="AT149" s="22"/>
      <c r="AU149" s="22"/>
      <c r="AV149" s="45"/>
      <c r="AW149" s="45"/>
      <c r="AX149" s="45"/>
      <c r="AY149" s="13"/>
      <c r="AZ149" s="13"/>
      <c r="BA149" s="13"/>
      <c r="BB149" s="13"/>
      <c r="BC149" s="13"/>
      <c r="BD149" s="13"/>
    </row>
    <row r="150" spans="1:56" s="49" customFormat="1" ht="15" customHeight="1">
      <c r="A150" s="84" t="s">
        <v>354</v>
      </c>
      <c r="B150" s="22" t="s">
        <v>383</v>
      </c>
      <c r="C150" s="24" t="s">
        <v>474</v>
      </c>
      <c r="D150" s="24" t="s">
        <v>342</v>
      </c>
      <c r="E150" s="177">
        <v>4907958.8</v>
      </c>
      <c r="F150" s="33">
        <v>1271023.7</v>
      </c>
      <c r="G150" s="33" t="s">
        <v>393</v>
      </c>
      <c r="H150" s="24" t="s">
        <v>37</v>
      </c>
      <c r="I150" s="24"/>
      <c r="J150" s="33">
        <v>74095</v>
      </c>
      <c r="K150" s="34"/>
      <c r="L150" s="33">
        <f t="shared" si="48"/>
        <v>0</v>
      </c>
      <c r="M150" s="34"/>
      <c r="N150" s="33">
        <f t="shared" si="49"/>
        <v>0</v>
      </c>
      <c r="O150" s="34"/>
      <c r="P150" s="33">
        <f t="shared" si="45"/>
        <v>0</v>
      </c>
      <c r="Q150" s="34">
        <v>1</v>
      </c>
      <c r="R150" s="33">
        <f t="shared" si="46"/>
        <v>0</v>
      </c>
      <c r="S150" s="34">
        <f t="shared" si="47"/>
        <v>1</v>
      </c>
      <c r="T150" s="34">
        <v>0</v>
      </c>
      <c r="U150" s="33">
        <f>276*365</f>
        <v>100740</v>
      </c>
      <c r="V150" s="24"/>
      <c r="W150" s="54"/>
      <c r="X150" s="35">
        <v>41780</v>
      </c>
      <c r="Y150" s="72"/>
      <c r="Z150" s="57">
        <v>2014</v>
      </c>
      <c r="AA150" s="33"/>
      <c r="AB150" s="33"/>
      <c r="AC150" s="54"/>
      <c r="AD150" s="34"/>
      <c r="AE150" s="62">
        <f t="shared" si="50"/>
        <v>0</v>
      </c>
      <c r="AF150" s="34"/>
      <c r="AG150" s="33">
        <f t="shared" si="41"/>
        <v>0</v>
      </c>
      <c r="AH150" s="58"/>
      <c r="AI150" s="33"/>
      <c r="AJ150" s="24"/>
      <c r="AK150" s="54"/>
      <c r="AL150" s="34"/>
      <c r="AM150" s="59">
        <f t="shared" si="51"/>
        <v>0</v>
      </c>
      <c r="AN150" s="22"/>
      <c r="AO150" s="22"/>
      <c r="AP150" s="22"/>
      <c r="AQ150" s="22"/>
      <c r="AR150" s="22"/>
      <c r="AS150" s="22"/>
      <c r="AT150" s="22"/>
      <c r="AU150" s="22"/>
      <c r="AV150" s="45"/>
      <c r="AW150" s="45"/>
      <c r="AX150" s="45"/>
      <c r="AY150" s="45"/>
      <c r="AZ150" s="45"/>
      <c r="BA150" s="45"/>
      <c r="BB150" s="45"/>
      <c r="BC150" s="45"/>
      <c r="BD150" s="45"/>
    </row>
    <row r="151" spans="1:56" s="49" customFormat="1" ht="15" customHeight="1">
      <c r="A151" s="84" t="s">
        <v>354</v>
      </c>
      <c r="B151" s="22" t="s">
        <v>383</v>
      </c>
      <c r="C151" s="24" t="s">
        <v>474</v>
      </c>
      <c r="D151" s="24" t="s">
        <v>343</v>
      </c>
      <c r="E151" s="177">
        <v>4851492.9000000004</v>
      </c>
      <c r="F151" s="33">
        <v>1217302</v>
      </c>
      <c r="G151" s="33" t="s">
        <v>393</v>
      </c>
      <c r="H151" s="24" t="s">
        <v>54</v>
      </c>
      <c r="I151" s="24"/>
      <c r="J151" s="33">
        <v>127750</v>
      </c>
      <c r="K151" s="34">
        <v>0</v>
      </c>
      <c r="L151" s="33">
        <f t="shared" si="48"/>
        <v>0</v>
      </c>
      <c r="M151" s="34">
        <v>0</v>
      </c>
      <c r="N151" s="33">
        <f t="shared" si="49"/>
        <v>0</v>
      </c>
      <c r="O151" s="34"/>
      <c r="P151" s="33">
        <f t="shared" si="45"/>
        <v>0</v>
      </c>
      <c r="Q151" s="34">
        <v>1</v>
      </c>
      <c r="R151" s="33">
        <f t="shared" si="46"/>
        <v>0</v>
      </c>
      <c r="S151" s="34">
        <f t="shared" si="47"/>
        <v>1</v>
      </c>
      <c r="T151" s="34">
        <v>0</v>
      </c>
      <c r="U151" s="33">
        <f>1050*365</f>
        <v>383250</v>
      </c>
      <c r="V151" s="24"/>
      <c r="W151" s="54"/>
      <c r="X151" s="35">
        <v>42223</v>
      </c>
      <c r="Y151" s="72"/>
      <c r="Z151" s="57">
        <v>2015</v>
      </c>
      <c r="AA151" s="33"/>
      <c r="AB151" s="33"/>
      <c r="AC151" s="54"/>
      <c r="AD151" s="34"/>
      <c r="AE151" s="62">
        <f t="shared" si="50"/>
        <v>0</v>
      </c>
      <c r="AF151" s="34"/>
      <c r="AG151" s="33">
        <f t="shared" si="41"/>
        <v>0</v>
      </c>
      <c r="AH151" s="58"/>
      <c r="AI151" s="33"/>
      <c r="AJ151" s="24"/>
      <c r="AK151" s="54"/>
      <c r="AL151" s="34"/>
      <c r="AM151" s="59">
        <f t="shared" si="51"/>
        <v>0</v>
      </c>
      <c r="AN151" s="22"/>
      <c r="AO151" s="22"/>
      <c r="AP151" s="22"/>
      <c r="AQ151" s="22"/>
      <c r="AR151" s="22"/>
      <c r="AS151" s="22"/>
      <c r="AT151" s="22"/>
      <c r="AU151" s="22"/>
      <c r="AV151" s="45"/>
      <c r="AW151" s="45"/>
      <c r="AX151" s="45"/>
      <c r="AY151" s="45"/>
      <c r="AZ151" s="45"/>
      <c r="BA151" s="45"/>
      <c r="BB151" s="45"/>
      <c r="BC151" s="45"/>
      <c r="BD151" s="45"/>
    </row>
    <row r="152" spans="1:56" ht="15" customHeight="1">
      <c r="A152" s="84" t="s">
        <v>354</v>
      </c>
      <c r="B152" s="22" t="s">
        <v>383</v>
      </c>
      <c r="C152" s="24" t="s">
        <v>474</v>
      </c>
      <c r="D152" s="24" t="s">
        <v>344</v>
      </c>
      <c r="E152" s="177">
        <v>4958652.3</v>
      </c>
      <c r="F152" s="33">
        <v>1188138.2</v>
      </c>
      <c r="G152" s="33" t="s">
        <v>393</v>
      </c>
      <c r="H152" s="24" t="s">
        <v>37</v>
      </c>
      <c r="I152" s="24"/>
      <c r="J152" s="33">
        <v>416100</v>
      </c>
      <c r="K152" s="34">
        <v>1</v>
      </c>
      <c r="L152" s="33">
        <f t="shared" si="48"/>
        <v>0</v>
      </c>
      <c r="M152" s="34">
        <v>0</v>
      </c>
      <c r="N152" s="33">
        <f t="shared" si="49"/>
        <v>0</v>
      </c>
      <c r="O152" s="34"/>
      <c r="P152" s="33">
        <f t="shared" si="45"/>
        <v>0</v>
      </c>
      <c r="Q152" s="34"/>
      <c r="R152" s="33">
        <f t="shared" si="46"/>
        <v>0</v>
      </c>
      <c r="S152" s="34">
        <f t="shared" si="47"/>
        <v>1</v>
      </c>
      <c r="T152" s="34">
        <v>0</v>
      </c>
      <c r="U152" s="33">
        <f>5000*365</f>
        <v>1825000</v>
      </c>
      <c r="V152" s="24"/>
      <c r="W152" s="54"/>
      <c r="X152" s="35">
        <v>41920</v>
      </c>
      <c r="Y152" s="72"/>
      <c r="Z152" s="57">
        <v>2014</v>
      </c>
      <c r="AA152" s="33"/>
      <c r="AB152" s="33"/>
      <c r="AC152" s="54"/>
      <c r="AD152" s="34"/>
      <c r="AE152" s="62">
        <f t="shared" si="50"/>
        <v>0</v>
      </c>
      <c r="AF152" s="34"/>
      <c r="AG152" s="33">
        <f t="shared" si="41"/>
        <v>0</v>
      </c>
      <c r="AH152" s="58"/>
      <c r="AI152" s="33"/>
      <c r="AJ152" s="24"/>
      <c r="AK152" s="54"/>
      <c r="AL152" s="34"/>
      <c r="AM152" s="59">
        <f t="shared" si="51"/>
        <v>0</v>
      </c>
      <c r="AN152" s="22"/>
      <c r="AO152" s="22"/>
      <c r="AP152" s="22"/>
      <c r="AQ152" s="22"/>
      <c r="AR152" s="22"/>
      <c r="AS152" s="22"/>
      <c r="AT152" s="22"/>
      <c r="AU152" s="22"/>
      <c r="AV152" s="45"/>
      <c r="AW152" s="45"/>
      <c r="AX152" s="45"/>
      <c r="AY152" s="13"/>
      <c r="AZ152" s="13"/>
      <c r="BA152" s="13"/>
      <c r="BB152" s="13"/>
      <c r="BC152" s="13"/>
      <c r="BD152" s="13"/>
    </row>
    <row r="153" spans="1:56" ht="15" customHeight="1">
      <c r="A153" s="84" t="s">
        <v>354</v>
      </c>
      <c r="B153" s="22" t="s">
        <v>383</v>
      </c>
      <c r="C153" s="24" t="s">
        <v>474</v>
      </c>
      <c r="D153" s="24" t="s">
        <v>345</v>
      </c>
      <c r="E153" s="177">
        <v>4835237</v>
      </c>
      <c r="F153" s="33">
        <v>1288728.3</v>
      </c>
      <c r="G153" s="33" t="s">
        <v>393</v>
      </c>
      <c r="H153" s="24" t="s">
        <v>54</v>
      </c>
      <c r="I153" s="24"/>
      <c r="J153" s="33">
        <v>5840</v>
      </c>
      <c r="K153" s="34">
        <v>1</v>
      </c>
      <c r="L153" s="33">
        <f t="shared" si="48"/>
        <v>0</v>
      </c>
      <c r="M153" s="34">
        <v>0</v>
      </c>
      <c r="N153" s="33">
        <f t="shared" si="49"/>
        <v>0</v>
      </c>
      <c r="O153" s="34"/>
      <c r="P153" s="33">
        <f t="shared" si="45"/>
        <v>0</v>
      </c>
      <c r="Q153" s="34"/>
      <c r="R153" s="33">
        <f t="shared" si="46"/>
        <v>0</v>
      </c>
      <c r="S153" s="34">
        <f t="shared" si="47"/>
        <v>1</v>
      </c>
      <c r="T153" s="34">
        <v>0</v>
      </c>
      <c r="U153" s="33">
        <f>110*365</f>
        <v>40150</v>
      </c>
      <c r="V153" s="24"/>
      <c r="W153" s="54"/>
      <c r="X153" s="35">
        <v>43351</v>
      </c>
      <c r="Y153" s="72"/>
      <c r="Z153" s="57">
        <v>2018</v>
      </c>
      <c r="AA153" s="33"/>
      <c r="AB153" s="33"/>
      <c r="AC153" s="54"/>
      <c r="AD153" s="34"/>
      <c r="AE153" s="62">
        <f t="shared" si="50"/>
        <v>0</v>
      </c>
      <c r="AF153" s="34"/>
      <c r="AG153" s="33">
        <f t="shared" si="41"/>
        <v>0</v>
      </c>
      <c r="AH153" s="58"/>
      <c r="AI153" s="33"/>
      <c r="AJ153" s="24"/>
      <c r="AK153" s="54"/>
      <c r="AL153" s="34"/>
      <c r="AM153" s="59">
        <f t="shared" si="51"/>
        <v>0</v>
      </c>
      <c r="AN153" s="22"/>
      <c r="AO153" s="22"/>
      <c r="AP153" s="22"/>
      <c r="AQ153" s="22"/>
      <c r="AR153" s="22"/>
      <c r="AS153" s="22"/>
      <c r="AT153" s="22"/>
      <c r="AU153" s="22"/>
      <c r="AV153" s="45"/>
      <c r="AW153" s="45"/>
      <c r="AX153" s="45"/>
      <c r="AY153" s="13"/>
      <c r="AZ153" s="13"/>
      <c r="BA153" s="13"/>
      <c r="BB153" s="13"/>
      <c r="BC153" s="13"/>
      <c r="BD153" s="13"/>
    </row>
    <row r="154" spans="1:56" ht="15" customHeight="1">
      <c r="A154" s="84" t="s">
        <v>354</v>
      </c>
      <c r="B154" s="22" t="s">
        <v>383</v>
      </c>
      <c r="C154" s="24" t="s">
        <v>474</v>
      </c>
      <c r="D154" s="24" t="s">
        <v>346</v>
      </c>
      <c r="E154" s="177">
        <v>4877192.5999999996</v>
      </c>
      <c r="F154" s="33">
        <v>1239350.3999999999</v>
      </c>
      <c r="G154" s="33" t="s">
        <v>393</v>
      </c>
      <c r="H154" s="24" t="s">
        <v>37</v>
      </c>
      <c r="I154" s="24"/>
      <c r="J154" s="33">
        <v>354050</v>
      </c>
      <c r="K154" s="34">
        <v>1</v>
      </c>
      <c r="L154" s="33">
        <f t="shared" si="48"/>
        <v>0</v>
      </c>
      <c r="M154" s="34">
        <v>0</v>
      </c>
      <c r="N154" s="33">
        <f t="shared" si="49"/>
        <v>0</v>
      </c>
      <c r="O154" s="34"/>
      <c r="P154" s="33">
        <f t="shared" si="45"/>
        <v>0</v>
      </c>
      <c r="Q154" s="34"/>
      <c r="R154" s="33">
        <f t="shared" si="46"/>
        <v>0</v>
      </c>
      <c r="S154" s="34">
        <f t="shared" si="47"/>
        <v>1</v>
      </c>
      <c r="T154" s="34">
        <v>0</v>
      </c>
      <c r="U154" s="33">
        <f>1500*365</f>
        <v>547500</v>
      </c>
      <c r="V154" s="24"/>
      <c r="W154" s="54"/>
      <c r="X154" s="35">
        <v>45268</v>
      </c>
      <c r="Y154" s="72"/>
      <c r="Z154" s="57">
        <v>2023</v>
      </c>
      <c r="AA154" s="33"/>
      <c r="AB154" s="33"/>
      <c r="AC154" s="54"/>
      <c r="AD154" s="34"/>
      <c r="AE154" s="62">
        <f t="shared" si="50"/>
        <v>0</v>
      </c>
      <c r="AF154" s="34"/>
      <c r="AG154" s="33">
        <f t="shared" si="41"/>
        <v>0</v>
      </c>
      <c r="AH154" s="58"/>
      <c r="AI154" s="33"/>
      <c r="AJ154" s="24"/>
      <c r="AK154" s="54"/>
      <c r="AL154" s="34"/>
      <c r="AM154" s="59">
        <f t="shared" si="51"/>
        <v>0</v>
      </c>
      <c r="AN154" s="22"/>
      <c r="AO154" s="22"/>
      <c r="AP154" s="22"/>
      <c r="AQ154" s="22"/>
      <c r="AR154" s="22"/>
      <c r="AS154" s="22"/>
      <c r="AT154" s="22"/>
      <c r="AU154" s="22"/>
      <c r="AV154" s="45"/>
      <c r="AW154" s="45"/>
      <c r="AX154" s="45"/>
      <c r="AY154" s="13"/>
      <c r="AZ154" s="13"/>
      <c r="BA154" s="13"/>
      <c r="BB154" s="13"/>
      <c r="BC154" s="13"/>
      <c r="BD154" s="13"/>
    </row>
    <row r="155" spans="1:56" ht="15" customHeight="1">
      <c r="A155" s="84" t="s">
        <v>354</v>
      </c>
      <c r="B155" s="22" t="s">
        <v>383</v>
      </c>
      <c r="C155" s="24" t="s">
        <v>474</v>
      </c>
      <c r="D155" s="24" t="s">
        <v>347</v>
      </c>
      <c r="E155" s="177">
        <v>4795382.9000000004</v>
      </c>
      <c r="F155" s="33">
        <v>1227656.8</v>
      </c>
      <c r="G155" s="33" t="s">
        <v>393</v>
      </c>
      <c r="H155" s="24" t="s">
        <v>37</v>
      </c>
      <c r="I155" s="24"/>
      <c r="J155" s="33">
        <v>21900</v>
      </c>
      <c r="K155" s="34">
        <v>0</v>
      </c>
      <c r="L155" s="33">
        <f t="shared" si="48"/>
        <v>0</v>
      </c>
      <c r="M155" s="34">
        <v>1</v>
      </c>
      <c r="N155" s="33">
        <f t="shared" si="49"/>
        <v>0</v>
      </c>
      <c r="O155" s="34"/>
      <c r="P155" s="33">
        <f t="shared" si="45"/>
        <v>0</v>
      </c>
      <c r="Q155" s="34"/>
      <c r="R155" s="33">
        <f t="shared" si="46"/>
        <v>0</v>
      </c>
      <c r="S155" s="34">
        <f t="shared" si="47"/>
        <v>1</v>
      </c>
      <c r="T155" s="34">
        <v>0</v>
      </c>
      <c r="U155" s="33">
        <f>600*365</f>
        <v>219000</v>
      </c>
      <c r="V155" s="24"/>
      <c r="W155" s="54"/>
      <c r="X155" s="35">
        <v>45598</v>
      </c>
      <c r="Y155" s="72"/>
      <c r="Z155" s="57">
        <v>2024</v>
      </c>
      <c r="AA155" s="33"/>
      <c r="AB155" s="33"/>
      <c r="AC155" s="54"/>
      <c r="AD155" s="34"/>
      <c r="AE155" s="62">
        <f t="shared" si="50"/>
        <v>0</v>
      </c>
      <c r="AF155" s="34"/>
      <c r="AG155" s="33">
        <f t="shared" si="41"/>
        <v>0</v>
      </c>
      <c r="AH155" s="58"/>
      <c r="AI155" s="33"/>
      <c r="AJ155" s="24"/>
      <c r="AK155" s="54"/>
      <c r="AL155" s="34"/>
      <c r="AM155" s="59">
        <f t="shared" si="51"/>
        <v>0</v>
      </c>
      <c r="AN155" s="22"/>
      <c r="AO155" s="22"/>
      <c r="AP155" s="22"/>
      <c r="AQ155" s="22"/>
      <c r="AR155" s="22"/>
      <c r="AS155" s="22"/>
      <c r="AT155" s="22"/>
      <c r="AU155" s="22"/>
      <c r="AV155" s="45"/>
      <c r="AW155" s="45"/>
      <c r="AX155" s="45"/>
      <c r="AY155" s="13"/>
      <c r="AZ155" s="13"/>
      <c r="BA155" s="13"/>
      <c r="BB155" s="13"/>
      <c r="BC155" s="13"/>
      <c r="BD155" s="13"/>
    </row>
    <row r="156" spans="1:56" ht="15" customHeight="1">
      <c r="A156" s="84" t="s">
        <v>354</v>
      </c>
      <c r="B156" s="22" t="s">
        <v>383</v>
      </c>
      <c r="C156" s="24" t="s">
        <v>474</v>
      </c>
      <c r="D156" s="24" t="s">
        <v>348</v>
      </c>
      <c r="E156" s="177">
        <v>4855647.71</v>
      </c>
      <c r="F156" s="33">
        <v>1217587.3500000001</v>
      </c>
      <c r="G156" s="33" t="s">
        <v>393</v>
      </c>
      <c r="H156" s="24" t="s">
        <v>54</v>
      </c>
      <c r="I156" s="24"/>
      <c r="J156" s="33">
        <v>83585</v>
      </c>
      <c r="K156" s="34">
        <v>0</v>
      </c>
      <c r="L156" s="33">
        <f t="shared" si="48"/>
        <v>0</v>
      </c>
      <c r="M156" s="34">
        <v>1</v>
      </c>
      <c r="N156" s="33">
        <f t="shared" si="49"/>
        <v>0</v>
      </c>
      <c r="O156" s="34"/>
      <c r="P156" s="33">
        <f t="shared" si="45"/>
        <v>0</v>
      </c>
      <c r="Q156" s="34"/>
      <c r="R156" s="33">
        <f t="shared" si="46"/>
        <v>0</v>
      </c>
      <c r="S156" s="34">
        <f t="shared" si="47"/>
        <v>1</v>
      </c>
      <c r="T156" s="34">
        <v>0</v>
      </c>
      <c r="U156" s="33">
        <f>1060*365</f>
        <v>386900</v>
      </c>
      <c r="V156" s="24"/>
      <c r="W156" s="54"/>
      <c r="X156" s="35">
        <v>50991</v>
      </c>
      <c r="Y156" s="72"/>
      <c r="Z156" s="57">
        <v>2039</v>
      </c>
      <c r="AA156" s="33"/>
      <c r="AB156" s="33"/>
      <c r="AC156" s="54"/>
      <c r="AD156" s="34"/>
      <c r="AE156" s="62">
        <f t="shared" si="50"/>
        <v>0</v>
      </c>
      <c r="AF156" s="34"/>
      <c r="AG156" s="33">
        <f t="shared" si="41"/>
        <v>0</v>
      </c>
      <c r="AH156" s="58"/>
      <c r="AI156" s="33"/>
      <c r="AJ156" s="24"/>
      <c r="AK156" s="54"/>
      <c r="AL156" s="34"/>
      <c r="AM156" s="59">
        <f t="shared" si="51"/>
        <v>0</v>
      </c>
      <c r="AN156" s="22"/>
      <c r="AO156" s="22"/>
      <c r="AP156" s="22"/>
      <c r="AQ156" s="22"/>
      <c r="AR156" s="22"/>
      <c r="AS156" s="22"/>
      <c r="AT156" s="22"/>
      <c r="AU156" s="22"/>
      <c r="AV156" s="45"/>
      <c r="AW156" s="45"/>
      <c r="AX156" s="45"/>
      <c r="AY156" s="13"/>
      <c r="AZ156" s="13"/>
      <c r="BA156" s="13"/>
      <c r="BB156" s="13"/>
      <c r="BC156" s="13"/>
      <c r="BD156" s="13"/>
    </row>
    <row r="157" spans="1:56">
      <c r="A157" s="84" t="s">
        <v>354</v>
      </c>
      <c r="B157" s="22" t="s">
        <v>383</v>
      </c>
      <c r="C157" s="24" t="s">
        <v>474</v>
      </c>
      <c r="D157" s="24" t="s">
        <v>349</v>
      </c>
      <c r="E157" s="177">
        <v>4856383.24</v>
      </c>
      <c r="F157" s="33">
        <v>1237976.92</v>
      </c>
      <c r="G157" s="33" t="s">
        <v>393</v>
      </c>
      <c r="H157" s="24" t="s">
        <v>37</v>
      </c>
      <c r="I157" s="24"/>
      <c r="J157" s="33">
        <v>8296450</v>
      </c>
      <c r="K157" s="34">
        <v>1</v>
      </c>
      <c r="L157" s="33">
        <f t="shared" si="48"/>
        <v>0</v>
      </c>
      <c r="M157" s="34">
        <v>0</v>
      </c>
      <c r="N157" s="33">
        <f t="shared" si="49"/>
        <v>0</v>
      </c>
      <c r="O157" s="34"/>
      <c r="P157" s="33">
        <f t="shared" si="45"/>
        <v>0</v>
      </c>
      <c r="Q157" s="34"/>
      <c r="R157" s="33">
        <f t="shared" si="46"/>
        <v>0</v>
      </c>
      <c r="S157" s="34">
        <f t="shared" si="47"/>
        <v>1</v>
      </c>
      <c r="T157" s="34">
        <v>0</v>
      </c>
      <c r="U157" s="33"/>
      <c r="V157" s="24"/>
      <c r="W157" s="54"/>
      <c r="X157" s="35">
        <v>42589</v>
      </c>
      <c r="Y157" s="72"/>
      <c r="Z157" s="57">
        <v>2016</v>
      </c>
      <c r="AA157" s="33"/>
      <c r="AB157" s="33"/>
      <c r="AC157" s="54"/>
      <c r="AD157" s="34"/>
      <c r="AE157" s="62">
        <f t="shared" si="50"/>
        <v>0</v>
      </c>
      <c r="AF157" s="34"/>
      <c r="AG157" s="33">
        <f t="shared" si="41"/>
        <v>0</v>
      </c>
      <c r="AH157" s="58"/>
      <c r="AI157" s="33"/>
      <c r="AJ157" s="24"/>
      <c r="AK157" s="54"/>
      <c r="AL157" s="34"/>
      <c r="AM157" s="59">
        <f t="shared" si="51"/>
        <v>0</v>
      </c>
      <c r="AN157" s="22"/>
      <c r="AO157" s="22"/>
      <c r="AP157" s="22"/>
      <c r="AQ157" s="22"/>
      <c r="AR157" s="22"/>
      <c r="AS157" s="22"/>
      <c r="AT157" s="22"/>
      <c r="AU157" s="22"/>
      <c r="AV157" s="45"/>
      <c r="AW157" s="45"/>
      <c r="AX157" s="45"/>
      <c r="AY157" s="13"/>
      <c r="AZ157" s="13"/>
      <c r="BA157" s="13"/>
      <c r="BB157" s="13"/>
      <c r="BC157" s="13"/>
      <c r="BD157" s="13"/>
    </row>
    <row r="158" spans="1:56" ht="15" customHeight="1">
      <c r="A158" s="84" t="s">
        <v>354</v>
      </c>
      <c r="B158" s="22" t="s">
        <v>383</v>
      </c>
      <c r="C158" s="24" t="s">
        <v>474</v>
      </c>
      <c r="D158" s="24" t="s">
        <v>350</v>
      </c>
      <c r="E158" s="177">
        <v>4844779.9400000004</v>
      </c>
      <c r="F158" s="33">
        <v>1269655.49</v>
      </c>
      <c r="G158" s="33" t="s">
        <v>393</v>
      </c>
      <c r="H158" s="24" t="s">
        <v>54</v>
      </c>
      <c r="I158" s="24"/>
      <c r="J158" s="33">
        <v>8030</v>
      </c>
      <c r="K158" s="34">
        <v>1</v>
      </c>
      <c r="L158" s="33">
        <f t="shared" si="48"/>
        <v>0</v>
      </c>
      <c r="M158" s="34">
        <v>0</v>
      </c>
      <c r="N158" s="33">
        <f t="shared" si="49"/>
        <v>0</v>
      </c>
      <c r="O158" s="34"/>
      <c r="P158" s="33">
        <f t="shared" si="45"/>
        <v>0</v>
      </c>
      <c r="Q158" s="34"/>
      <c r="R158" s="33">
        <f t="shared" si="46"/>
        <v>0</v>
      </c>
      <c r="S158" s="34">
        <f t="shared" si="47"/>
        <v>1</v>
      </c>
      <c r="T158" s="34">
        <v>0</v>
      </c>
      <c r="U158" s="33">
        <f>30*365</f>
        <v>10950</v>
      </c>
      <c r="V158" s="24"/>
      <c r="W158" s="54"/>
      <c r="X158" s="35">
        <v>47458</v>
      </c>
      <c r="Y158" s="72"/>
      <c r="Z158" s="57">
        <v>2029</v>
      </c>
      <c r="AA158" s="33"/>
      <c r="AB158" s="33"/>
      <c r="AC158" s="54"/>
      <c r="AD158" s="34"/>
      <c r="AE158" s="62">
        <f t="shared" si="50"/>
        <v>0</v>
      </c>
      <c r="AF158" s="34"/>
      <c r="AG158" s="33">
        <f t="shared" si="41"/>
        <v>0</v>
      </c>
      <c r="AH158" s="58"/>
      <c r="AI158" s="33"/>
      <c r="AJ158" s="24"/>
      <c r="AK158" s="54"/>
      <c r="AL158" s="34"/>
      <c r="AM158" s="59">
        <f t="shared" si="51"/>
        <v>0</v>
      </c>
      <c r="AN158" s="22"/>
      <c r="AO158" s="22"/>
      <c r="AP158" s="22"/>
      <c r="AQ158" s="22"/>
      <c r="AR158" s="22"/>
      <c r="AS158" s="22"/>
      <c r="AT158" s="22"/>
      <c r="AU158" s="22"/>
      <c r="AV158" s="45"/>
      <c r="AW158" s="45"/>
      <c r="AX158" s="45"/>
      <c r="AY158" s="13"/>
      <c r="AZ158" s="13"/>
      <c r="BA158" s="13"/>
      <c r="BB158" s="13"/>
      <c r="BC158" s="13"/>
      <c r="BD158" s="13"/>
    </row>
    <row r="159" spans="1:56" ht="15" customHeight="1">
      <c r="A159" s="84" t="s">
        <v>354</v>
      </c>
      <c r="B159" s="22" t="s">
        <v>383</v>
      </c>
      <c r="C159" s="24" t="s">
        <v>474</v>
      </c>
      <c r="D159" s="24" t="s">
        <v>351</v>
      </c>
      <c r="E159" s="177">
        <v>4877042.4400000004</v>
      </c>
      <c r="F159" s="33">
        <v>1188713.1000000001</v>
      </c>
      <c r="G159" s="33" t="s">
        <v>393</v>
      </c>
      <c r="H159" s="24" t="s">
        <v>54</v>
      </c>
      <c r="I159" s="24"/>
      <c r="J159" s="33">
        <v>56940</v>
      </c>
      <c r="K159" s="34">
        <v>1</v>
      </c>
      <c r="L159" s="33">
        <f t="shared" si="48"/>
        <v>0</v>
      </c>
      <c r="M159" s="34">
        <v>0</v>
      </c>
      <c r="N159" s="33">
        <f t="shared" si="49"/>
        <v>0</v>
      </c>
      <c r="O159" s="34"/>
      <c r="P159" s="33">
        <f t="shared" si="45"/>
        <v>0</v>
      </c>
      <c r="Q159" s="34"/>
      <c r="R159" s="33">
        <f t="shared" si="46"/>
        <v>0</v>
      </c>
      <c r="S159" s="34">
        <f t="shared" si="47"/>
        <v>1</v>
      </c>
      <c r="T159" s="34">
        <v>0</v>
      </c>
      <c r="U159" s="33">
        <f>486*365</f>
        <v>177390</v>
      </c>
      <c r="V159" s="24"/>
      <c r="W159" s="54"/>
      <c r="X159" s="35">
        <v>48172</v>
      </c>
      <c r="Y159" s="72"/>
      <c r="Z159" s="57">
        <v>2031</v>
      </c>
      <c r="AA159" s="33"/>
      <c r="AB159" s="33"/>
      <c r="AC159" s="54"/>
      <c r="AD159" s="34"/>
      <c r="AE159" s="62">
        <f t="shared" si="50"/>
        <v>0</v>
      </c>
      <c r="AF159" s="34"/>
      <c r="AG159" s="33">
        <f t="shared" si="41"/>
        <v>0</v>
      </c>
      <c r="AH159" s="58"/>
      <c r="AI159" s="33"/>
      <c r="AJ159" s="24"/>
      <c r="AK159" s="54"/>
      <c r="AL159" s="34"/>
      <c r="AM159" s="59">
        <f t="shared" si="51"/>
        <v>0</v>
      </c>
      <c r="AN159" s="22"/>
      <c r="AO159" s="22"/>
      <c r="AP159" s="22"/>
      <c r="AQ159" s="22"/>
      <c r="AR159" s="22"/>
      <c r="AS159" s="22"/>
      <c r="AT159" s="22"/>
      <c r="AU159" s="22"/>
      <c r="AV159" s="45"/>
      <c r="AW159" s="45"/>
      <c r="AX159" s="45"/>
      <c r="AY159" s="13"/>
      <c r="AZ159" s="13"/>
      <c r="BA159" s="13"/>
      <c r="BB159" s="13"/>
      <c r="BC159" s="13"/>
      <c r="BD159" s="13"/>
    </row>
    <row r="160" spans="1:56" ht="15" customHeight="1">
      <c r="A160" s="84" t="s">
        <v>354</v>
      </c>
      <c r="B160" s="22" t="s">
        <v>383</v>
      </c>
      <c r="C160" s="24" t="s">
        <v>474</v>
      </c>
      <c r="D160" s="24" t="s">
        <v>352</v>
      </c>
      <c r="E160" s="180">
        <v>4862389.2</v>
      </c>
      <c r="F160" s="98">
        <v>1278003.6000000001</v>
      </c>
      <c r="G160" s="33" t="s">
        <v>393</v>
      </c>
      <c r="H160" s="24" t="s">
        <v>53</v>
      </c>
      <c r="I160" s="24"/>
      <c r="J160" s="33">
        <v>106945</v>
      </c>
      <c r="K160" s="34">
        <v>1</v>
      </c>
      <c r="L160" s="33">
        <f t="shared" si="48"/>
        <v>0</v>
      </c>
      <c r="M160" s="34">
        <v>0</v>
      </c>
      <c r="N160" s="33">
        <f t="shared" si="49"/>
        <v>0</v>
      </c>
      <c r="O160" s="34"/>
      <c r="P160" s="33">
        <f t="shared" si="45"/>
        <v>0</v>
      </c>
      <c r="Q160" s="34"/>
      <c r="R160" s="33">
        <f t="shared" si="46"/>
        <v>0</v>
      </c>
      <c r="S160" s="34">
        <f t="shared" si="47"/>
        <v>1</v>
      </c>
      <c r="T160" s="34">
        <v>0</v>
      </c>
      <c r="U160" s="33">
        <f>528*365</f>
        <v>192720</v>
      </c>
      <c r="V160" s="24"/>
      <c r="W160" s="54"/>
      <c r="X160" s="35">
        <v>45270</v>
      </c>
      <c r="Y160" s="72"/>
      <c r="Z160" s="57">
        <v>2023</v>
      </c>
      <c r="AA160" s="33"/>
      <c r="AB160" s="33"/>
      <c r="AC160" s="54"/>
      <c r="AD160" s="34"/>
      <c r="AE160" s="62">
        <f t="shared" si="50"/>
        <v>0</v>
      </c>
      <c r="AF160" s="34"/>
      <c r="AG160" s="33">
        <f t="shared" si="41"/>
        <v>0</v>
      </c>
      <c r="AH160" s="58"/>
      <c r="AI160" s="33"/>
      <c r="AJ160" s="24"/>
      <c r="AK160" s="54"/>
      <c r="AL160" s="34"/>
      <c r="AM160" s="59">
        <f t="shared" si="51"/>
        <v>0</v>
      </c>
      <c r="AN160" s="22"/>
      <c r="AO160" s="22"/>
      <c r="AP160" s="22"/>
      <c r="AQ160" s="22"/>
      <c r="AR160" s="22"/>
      <c r="AS160" s="22"/>
      <c r="AT160" s="22"/>
      <c r="AU160" s="22"/>
      <c r="AV160" s="45"/>
      <c r="AW160" s="45"/>
      <c r="AX160" s="45"/>
      <c r="AY160" s="13"/>
      <c r="AZ160" s="13"/>
      <c r="BA160" s="13"/>
      <c r="BB160" s="13"/>
      <c r="BC160" s="13"/>
      <c r="BD160" s="13"/>
    </row>
    <row r="161" spans="1:56" s="60" customFormat="1" ht="15" customHeight="1">
      <c r="A161" s="55" t="s">
        <v>353</v>
      </c>
      <c r="B161" s="22" t="s">
        <v>383</v>
      </c>
      <c r="C161" s="24" t="s">
        <v>474</v>
      </c>
      <c r="D161" s="24" t="s">
        <v>355</v>
      </c>
      <c r="E161" s="177">
        <v>5644268</v>
      </c>
      <c r="F161" s="33">
        <v>1712296</v>
      </c>
      <c r="G161" s="33" t="s">
        <v>393</v>
      </c>
      <c r="H161" s="24" t="s">
        <v>54</v>
      </c>
      <c r="I161" s="99"/>
      <c r="J161" s="98">
        <v>2436375</v>
      </c>
      <c r="K161" s="34">
        <v>1</v>
      </c>
      <c r="L161" s="33">
        <f t="shared" si="48"/>
        <v>0</v>
      </c>
      <c r="M161" s="34">
        <v>0</v>
      </c>
      <c r="N161" s="33">
        <f t="shared" si="49"/>
        <v>0</v>
      </c>
      <c r="O161" s="34"/>
      <c r="P161" s="33">
        <f t="shared" si="45"/>
        <v>0</v>
      </c>
      <c r="Q161" s="34"/>
      <c r="R161" s="33">
        <f t="shared" si="46"/>
        <v>0</v>
      </c>
      <c r="S161" s="34">
        <f t="shared" si="47"/>
        <v>1</v>
      </c>
      <c r="T161" s="34">
        <v>0.15</v>
      </c>
      <c r="U161" s="100">
        <v>3500000</v>
      </c>
      <c r="V161" s="24" t="s">
        <v>67</v>
      </c>
      <c r="W161" s="54" t="s">
        <v>356</v>
      </c>
      <c r="X161" s="35">
        <v>42582</v>
      </c>
      <c r="Y161" s="72"/>
      <c r="Z161" s="24"/>
      <c r="AA161" s="33"/>
      <c r="AB161" s="33" t="s">
        <v>357</v>
      </c>
      <c r="AC161" s="54" t="s">
        <v>23</v>
      </c>
      <c r="AD161" s="34"/>
      <c r="AE161" s="62">
        <f t="shared" si="50"/>
        <v>0</v>
      </c>
      <c r="AF161" s="34">
        <v>1</v>
      </c>
      <c r="AG161" s="33" t="s">
        <v>358</v>
      </c>
      <c r="AH161" s="58"/>
      <c r="AI161" s="33"/>
      <c r="AJ161" s="24"/>
      <c r="AK161" s="54"/>
      <c r="AL161" s="34"/>
      <c r="AM161" s="59">
        <f t="shared" si="51"/>
        <v>0</v>
      </c>
      <c r="AN161" s="22" t="s">
        <v>485</v>
      </c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</row>
    <row r="162" spans="1:56" ht="15" customHeight="1">
      <c r="A162" s="55" t="s">
        <v>353</v>
      </c>
      <c r="B162" s="22" t="s">
        <v>383</v>
      </c>
      <c r="C162" s="24" t="s">
        <v>476</v>
      </c>
      <c r="D162" s="21" t="s">
        <v>445</v>
      </c>
      <c r="E162" s="176">
        <v>5644385</v>
      </c>
      <c r="F162" s="27">
        <v>1712462</v>
      </c>
      <c r="G162" s="65" t="s">
        <v>408</v>
      </c>
      <c r="H162" s="21" t="s">
        <v>54</v>
      </c>
      <c r="I162" s="21">
        <v>3198524</v>
      </c>
      <c r="J162" s="98"/>
      <c r="K162" s="34">
        <v>1</v>
      </c>
      <c r="L162" s="33">
        <f t="shared" si="48"/>
        <v>3198524</v>
      </c>
      <c r="M162" s="34">
        <v>0</v>
      </c>
      <c r="N162" s="33">
        <f t="shared" si="49"/>
        <v>0</v>
      </c>
      <c r="O162" s="34">
        <v>0</v>
      </c>
      <c r="P162" s="33">
        <f t="shared" si="45"/>
        <v>0</v>
      </c>
      <c r="Q162" s="34">
        <v>0</v>
      </c>
      <c r="R162" s="33">
        <f t="shared" si="46"/>
        <v>0</v>
      </c>
      <c r="S162" s="34">
        <f t="shared" si="47"/>
        <v>1</v>
      </c>
      <c r="T162" s="34">
        <v>8.8000000000000005E-3</v>
      </c>
      <c r="U162" s="27">
        <v>2102400</v>
      </c>
      <c r="V162" s="24" t="s">
        <v>39</v>
      </c>
      <c r="W162" s="54" t="s">
        <v>39</v>
      </c>
      <c r="X162" s="28">
        <v>42522</v>
      </c>
      <c r="Y162" s="72" t="s">
        <v>436</v>
      </c>
      <c r="Z162" s="57">
        <v>2016</v>
      </c>
      <c r="AA162" s="27">
        <v>63970.48</v>
      </c>
      <c r="AB162" s="33"/>
      <c r="AC162" s="54" t="s">
        <v>446</v>
      </c>
      <c r="AD162" s="34">
        <v>0</v>
      </c>
      <c r="AE162" s="62">
        <f t="shared" si="50"/>
        <v>0</v>
      </c>
      <c r="AF162" s="34">
        <v>0</v>
      </c>
      <c r="AG162" s="33">
        <f t="shared" ref="AG162:AG208" si="52">AA162*AF162</f>
        <v>0</v>
      </c>
      <c r="AH162" s="58">
        <v>0</v>
      </c>
      <c r="AI162" s="33">
        <f t="shared" ref="AI162:AI208" si="53">AA162*AH162</f>
        <v>0</v>
      </c>
      <c r="AJ162" s="24"/>
      <c r="AK162" s="54"/>
      <c r="AL162" s="34">
        <v>1</v>
      </c>
      <c r="AM162" s="59">
        <f t="shared" si="51"/>
        <v>63970.48</v>
      </c>
      <c r="AN162" s="22"/>
      <c r="AO162" s="22"/>
      <c r="AP162" s="22"/>
      <c r="AQ162" s="22"/>
      <c r="AR162" s="22"/>
      <c r="AS162" s="22"/>
      <c r="AT162" s="22"/>
      <c r="AU162" s="22"/>
      <c r="AV162" s="45"/>
      <c r="AW162" s="45"/>
      <c r="AX162" s="45"/>
      <c r="AY162" s="13"/>
      <c r="AZ162" s="13"/>
      <c r="BA162" s="13"/>
      <c r="BB162" s="13"/>
      <c r="BC162" s="13"/>
      <c r="BD162" s="13"/>
    </row>
    <row r="163" spans="1:56" ht="15" customHeight="1">
      <c r="A163" s="55" t="s">
        <v>77</v>
      </c>
      <c r="B163" s="22" t="s">
        <v>486</v>
      </c>
      <c r="C163" s="24" t="s">
        <v>476</v>
      </c>
      <c r="D163" s="24" t="s">
        <v>68</v>
      </c>
      <c r="E163" s="177">
        <v>5496176.3200000003</v>
      </c>
      <c r="F163" s="33">
        <v>1571624.98</v>
      </c>
      <c r="G163" s="33"/>
      <c r="H163" s="34" t="s">
        <v>54</v>
      </c>
      <c r="I163" s="21">
        <v>40950</v>
      </c>
      <c r="J163" s="33">
        <v>31471</v>
      </c>
      <c r="K163" s="34">
        <v>1</v>
      </c>
      <c r="L163" s="33">
        <f t="shared" ref="L163:L208" si="54">I163*K163</f>
        <v>40950</v>
      </c>
      <c r="M163" s="34">
        <v>0</v>
      </c>
      <c r="N163" s="33">
        <f t="shared" ref="N163:N208" si="55">I163*M163</f>
        <v>0</v>
      </c>
      <c r="O163" s="34">
        <v>0</v>
      </c>
      <c r="P163" s="33">
        <f t="shared" si="45"/>
        <v>0</v>
      </c>
      <c r="Q163" s="34">
        <v>0</v>
      </c>
      <c r="R163" s="33">
        <f t="shared" si="46"/>
        <v>0</v>
      </c>
      <c r="S163" s="34">
        <f t="shared" si="47"/>
        <v>1</v>
      </c>
      <c r="T163" s="34"/>
      <c r="U163" s="33">
        <v>36500</v>
      </c>
      <c r="V163" s="35">
        <v>43805</v>
      </c>
      <c r="W163" s="54"/>
      <c r="X163" s="35">
        <v>49126</v>
      </c>
      <c r="Y163" s="72"/>
      <c r="Z163" s="57">
        <v>2034</v>
      </c>
      <c r="AA163" s="33"/>
      <c r="AB163" s="33"/>
      <c r="AC163" s="78" t="s">
        <v>429</v>
      </c>
      <c r="AD163" s="34">
        <v>0</v>
      </c>
      <c r="AE163" s="62">
        <f t="shared" si="50"/>
        <v>0</v>
      </c>
      <c r="AF163" s="34">
        <v>0</v>
      </c>
      <c r="AG163" s="33">
        <f t="shared" si="52"/>
        <v>0</v>
      </c>
      <c r="AH163" s="58">
        <v>0</v>
      </c>
      <c r="AI163" s="33">
        <f t="shared" si="53"/>
        <v>0</v>
      </c>
      <c r="AJ163" s="24"/>
      <c r="AK163" s="54">
        <f t="shared" ref="AK163:AK208" si="56">AJ163*AA163</f>
        <v>0</v>
      </c>
      <c r="AL163" s="34">
        <v>0</v>
      </c>
      <c r="AM163" s="59">
        <f t="shared" si="51"/>
        <v>0</v>
      </c>
      <c r="AN163" s="60"/>
      <c r="AO163" s="60"/>
      <c r="AP163" s="83"/>
      <c r="AQ163" s="60"/>
      <c r="AR163" s="68"/>
      <c r="AS163" s="68"/>
      <c r="AT163" s="60"/>
      <c r="AU163" s="60"/>
      <c r="AV163" s="49"/>
      <c r="AW163" s="49"/>
      <c r="AX163" s="49"/>
    </row>
    <row r="164" spans="1:56" ht="15" customHeight="1">
      <c r="A164" s="55" t="s">
        <v>77</v>
      </c>
      <c r="B164" s="22" t="s">
        <v>486</v>
      </c>
      <c r="C164" s="24" t="s">
        <v>476</v>
      </c>
      <c r="D164" s="24" t="s">
        <v>69</v>
      </c>
      <c r="E164" s="177">
        <v>5451548.54</v>
      </c>
      <c r="F164" s="33">
        <v>1602073.11</v>
      </c>
      <c r="G164" s="33"/>
      <c r="H164" s="24" t="s">
        <v>54</v>
      </c>
      <c r="I164" s="21">
        <v>904370</v>
      </c>
      <c r="J164" s="33">
        <v>813634</v>
      </c>
      <c r="K164" s="34">
        <v>0</v>
      </c>
      <c r="L164" s="33">
        <f t="shared" si="54"/>
        <v>0</v>
      </c>
      <c r="M164" s="34">
        <v>0.14000000000000001</v>
      </c>
      <c r="N164" s="33">
        <f t="shared" si="55"/>
        <v>126611.80000000002</v>
      </c>
      <c r="O164" s="34">
        <v>0</v>
      </c>
      <c r="P164" s="33">
        <f t="shared" si="45"/>
        <v>0</v>
      </c>
      <c r="Q164" s="34">
        <v>0.86</v>
      </c>
      <c r="R164" s="33">
        <f t="shared" si="46"/>
        <v>777758.2</v>
      </c>
      <c r="S164" s="34">
        <f t="shared" si="47"/>
        <v>1</v>
      </c>
      <c r="T164" s="34"/>
      <c r="U164" s="33">
        <v>912500</v>
      </c>
      <c r="V164" s="24" t="s">
        <v>75</v>
      </c>
      <c r="W164" s="54"/>
      <c r="X164" s="24" t="s">
        <v>75</v>
      </c>
      <c r="Y164" s="22"/>
      <c r="Z164" s="57">
        <v>2035</v>
      </c>
      <c r="AA164" s="33"/>
      <c r="AB164" s="33">
        <v>940</v>
      </c>
      <c r="AC164" s="78" t="s">
        <v>430</v>
      </c>
      <c r="AD164" s="34">
        <v>0</v>
      </c>
      <c r="AE164" s="62">
        <f t="shared" si="50"/>
        <v>0</v>
      </c>
      <c r="AF164" s="34">
        <v>0</v>
      </c>
      <c r="AG164" s="33">
        <f t="shared" si="52"/>
        <v>0</v>
      </c>
      <c r="AH164" s="58">
        <v>0</v>
      </c>
      <c r="AI164" s="33">
        <f t="shared" si="53"/>
        <v>0</v>
      </c>
      <c r="AJ164" s="24"/>
      <c r="AK164" s="54">
        <f t="shared" si="56"/>
        <v>0</v>
      </c>
      <c r="AL164" s="34">
        <v>0</v>
      </c>
      <c r="AM164" s="59">
        <f t="shared" si="51"/>
        <v>0</v>
      </c>
      <c r="AN164" s="22"/>
      <c r="AO164" s="60"/>
      <c r="AP164" s="60"/>
      <c r="AQ164" s="60"/>
      <c r="AR164" s="60"/>
      <c r="AS164" s="60"/>
      <c r="AT164" s="60"/>
      <c r="AU164" s="60"/>
      <c r="AV164" s="49"/>
      <c r="AW164" s="49"/>
      <c r="AX164" s="49"/>
    </row>
    <row r="165" spans="1:56" ht="15" customHeight="1">
      <c r="A165" s="55" t="s">
        <v>77</v>
      </c>
      <c r="B165" s="22" t="s">
        <v>486</v>
      </c>
      <c r="C165" s="24" t="s">
        <v>476</v>
      </c>
      <c r="D165" s="24" t="s">
        <v>70</v>
      </c>
      <c r="E165" s="177">
        <v>5372317.3499999996</v>
      </c>
      <c r="F165" s="33">
        <v>1543104.88</v>
      </c>
      <c r="G165" s="33"/>
      <c r="H165" s="24" t="s">
        <v>54</v>
      </c>
      <c r="I165" s="21">
        <v>50726</v>
      </c>
      <c r="J165" s="33">
        <v>50394</v>
      </c>
      <c r="K165" s="34">
        <v>0</v>
      </c>
      <c r="L165" s="33">
        <f t="shared" si="54"/>
        <v>0</v>
      </c>
      <c r="M165" s="34">
        <v>1</v>
      </c>
      <c r="N165" s="33">
        <f t="shared" si="55"/>
        <v>50726</v>
      </c>
      <c r="O165" s="34">
        <v>0</v>
      </c>
      <c r="P165" s="33">
        <f t="shared" si="45"/>
        <v>0</v>
      </c>
      <c r="Q165" s="34">
        <v>0</v>
      </c>
      <c r="R165" s="33">
        <f t="shared" si="46"/>
        <v>0</v>
      </c>
      <c r="S165" s="34">
        <f t="shared" si="47"/>
        <v>1</v>
      </c>
      <c r="T165" s="34"/>
      <c r="U165" s="33">
        <v>117900</v>
      </c>
      <c r="V165" s="35">
        <v>51654</v>
      </c>
      <c r="W165" s="54"/>
      <c r="X165" s="35">
        <v>51654</v>
      </c>
      <c r="Y165" s="72"/>
      <c r="Z165" s="57">
        <v>2041</v>
      </c>
      <c r="AA165" s="33"/>
      <c r="AB165" s="33"/>
      <c r="AC165" s="78" t="s">
        <v>431</v>
      </c>
      <c r="AD165" s="34">
        <v>0</v>
      </c>
      <c r="AE165" s="62">
        <f t="shared" si="50"/>
        <v>0</v>
      </c>
      <c r="AF165" s="34">
        <v>0</v>
      </c>
      <c r="AG165" s="33">
        <f t="shared" si="52"/>
        <v>0</v>
      </c>
      <c r="AH165" s="58">
        <v>0</v>
      </c>
      <c r="AI165" s="33">
        <f t="shared" si="53"/>
        <v>0</v>
      </c>
      <c r="AJ165" s="24"/>
      <c r="AK165" s="54">
        <f t="shared" si="56"/>
        <v>0</v>
      </c>
      <c r="AL165" s="34">
        <v>0</v>
      </c>
      <c r="AM165" s="59">
        <f t="shared" si="51"/>
        <v>0</v>
      </c>
      <c r="AN165" s="22"/>
      <c r="AO165" s="60"/>
      <c r="AP165" s="68"/>
      <c r="AQ165" s="60"/>
      <c r="AR165" s="68"/>
      <c r="AS165" s="68"/>
      <c r="AT165" s="68"/>
      <c r="AU165" s="60"/>
      <c r="AV165" s="49"/>
      <c r="AW165" s="49"/>
      <c r="AX165" s="49"/>
    </row>
    <row r="166" spans="1:56" ht="15" customHeight="1">
      <c r="A166" s="55" t="s">
        <v>77</v>
      </c>
      <c r="B166" s="22" t="s">
        <v>486</v>
      </c>
      <c r="C166" s="24" t="s">
        <v>476</v>
      </c>
      <c r="D166" s="24" t="s">
        <v>71</v>
      </c>
      <c r="E166" s="177">
        <v>5373730.6299999999</v>
      </c>
      <c r="F166" s="33">
        <v>1585208.64</v>
      </c>
      <c r="G166" s="33"/>
      <c r="H166" s="24" t="s">
        <v>54</v>
      </c>
      <c r="I166" s="21">
        <v>24283</v>
      </c>
      <c r="J166" s="33">
        <v>22456</v>
      </c>
      <c r="K166" s="34">
        <v>0</v>
      </c>
      <c r="L166" s="33">
        <f t="shared" si="54"/>
        <v>0</v>
      </c>
      <c r="M166" s="34">
        <v>1</v>
      </c>
      <c r="N166" s="33">
        <f t="shared" si="55"/>
        <v>24283</v>
      </c>
      <c r="O166" s="34">
        <v>0</v>
      </c>
      <c r="P166" s="33">
        <f t="shared" si="45"/>
        <v>0</v>
      </c>
      <c r="Q166" s="34">
        <v>0</v>
      </c>
      <c r="R166" s="33">
        <f t="shared" si="46"/>
        <v>0</v>
      </c>
      <c r="S166" s="34">
        <f t="shared" si="47"/>
        <v>1</v>
      </c>
      <c r="T166" s="34"/>
      <c r="U166" s="33">
        <v>105850</v>
      </c>
      <c r="V166" s="35">
        <v>50511</v>
      </c>
      <c r="W166" s="54"/>
      <c r="X166" s="35">
        <v>50511</v>
      </c>
      <c r="Y166" s="72"/>
      <c r="Z166" s="57">
        <v>2038</v>
      </c>
      <c r="AA166" s="33"/>
      <c r="AB166" s="33"/>
      <c r="AC166" s="78" t="s">
        <v>432</v>
      </c>
      <c r="AD166" s="34">
        <v>0</v>
      </c>
      <c r="AE166" s="62">
        <f t="shared" si="50"/>
        <v>0</v>
      </c>
      <c r="AF166" s="34">
        <v>0</v>
      </c>
      <c r="AG166" s="33">
        <f t="shared" si="52"/>
        <v>0</v>
      </c>
      <c r="AH166" s="58">
        <v>0</v>
      </c>
      <c r="AI166" s="33">
        <f t="shared" si="53"/>
        <v>0</v>
      </c>
      <c r="AJ166" s="24"/>
      <c r="AK166" s="54">
        <f t="shared" si="56"/>
        <v>0</v>
      </c>
      <c r="AL166" s="34">
        <v>0</v>
      </c>
      <c r="AM166" s="59">
        <f t="shared" si="51"/>
        <v>0</v>
      </c>
      <c r="AN166" s="60"/>
      <c r="AO166" s="60"/>
      <c r="AP166" s="67"/>
      <c r="AQ166" s="60"/>
      <c r="AR166" s="60"/>
      <c r="AS166" s="60"/>
      <c r="AT166" s="60"/>
      <c r="AU166" s="60"/>
      <c r="AV166" s="49"/>
      <c r="AW166" s="49"/>
      <c r="AX166" s="49"/>
    </row>
    <row r="167" spans="1:56" ht="15" customHeight="1">
      <c r="A167" s="55" t="s">
        <v>77</v>
      </c>
      <c r="B167" s="22" t="s">
        <v>486</v>
      </c>
      <c r="C167" s="24" t="s">
        <v>476</v>
      </c>
      <c r="D167" s="24" t="s">
        <v>72</v>
      </c>
      <c r="E167" s="177">
        <v>5478076.46</v>
      </c>
      <c r="F167" s="33">
        <v>1582978.84</v>
      </c>
      <c r="G167" s="33"/>
      <c r="H167" s="24" t="s">
        <v>54</v>
      </c>
      <c r="I167" s="21">
        <v>209631</v>
      </c>
      <c r="J167" s="33">
        <v>181612</v>
      </c>
      <c r="K167" s="34">
        <v>0</v>
      </c>
      <c r="L167" s="33">
        <f t="shared" si="54"/>
        <v>0</v>
      </c>
      <c r="M167" s="34">
        <v>1</v>
      </c>
      <c r="N167" s="33">
        <f t="shared" si="55"/>
        <v>209631</v>
      </c>
      <c r="O167" s="34">
        <v>0</v>
      </c>
      <c r="P167" s="33">
        <f t="shared" si="45"/>
        <v>0</v>
      </c>
      <c r="Q167" s="34">
        <v>0</v>
      </c>
      <c r="R167" s="33">
        <f t="shared" si="46"/>
        <v>0</v>
      </c>
      <c r="S167" s="34">
        <f t="shared" si="47"/>
        <v>1</v>
      </c>
      <c r="T167" s="34"/>
      <c r="U167" s="33">
        <v>255500</v>
      </c>
      <c r="V167" s="24" t="s">
        <v>76</v>
      </c>
      <c r="W167" s="54"/>
      <c r="X167" s="35">
        <v>50590</v>
      </c>
      <c r="Y167" s="72"/>
      <c r="Z167" s="57">
        <v>2038</v>
      </c>
      <c r="AA167" s="33"/>
      <c r="AB167" s="33"/>
      <c r="AC167" s="78" t="s">
        <v>433</v>
      </c>
      <c r="AD167" s="34">
        <v>0</v>
      </c>
      <c r="AE167" s="62">
        <f t="shared" si="50"/>
        <v>0</v>
      </c>
      <c r="AF167" s="34">
        <v>0</v>
      </c>
      <c r="AG167" s="33">
        <f t="shared" si="52"/>
        <v>0</v>
      </c>
      <c r="AH167" s="58">
        <v>0</v>
      </c>
      <c r="AI167" s="33">
        <f t="shared" si="53"/>
        <v>0</v>
      </c>
      <c r="AJ167" s="24"/>
      <c r="AK167" s="54">
        <f t="shared" si="56"/>
        <v>0</v>
      </c>
      <c r="AL167" s="34">
        <v>0</v>
      </c>
      <c r="AM167" s="59">
        <f t="shared" si="51"/>
        <v>0</v>
      </c>
      <c r="AN167" s="22"/>
      <c r="AO167" s="60"/>
      <c r="AP167" s="67"/>
      <c r="AQ167" s="60"/>
      <c r="AR167" s="60"/>
      <c r="AS167" s="60"/>
      <c r="AT167" s="60"/>
      <c r="AU167" s="60"/>
      <c r="AV167" s="49"/>
      <c r="AW167" s="49"/>
      <c r="AX167" s="49"/>
    </row>
    <row r="168" spans="1:56" ht="15" customHeight="1">
      <c r="A168" s="55" t="s">
        <v>77</v>
      </c>
      <c r="B168" s="22" t="s">
        <v>486</v>
      </c>
      <c r="C168" s="24" t="s">
        <v>476</v>
      </c>
      <c r="D168" s="24" t="s">
        <v>73</v>
      </c>
      <c r="E168" s="177">
        <v>5418508.9800000004</v>
      </c>
      <c r="F168" s="33">
        <v>1584871.88</v>
      </c>
      <c r="G168" s="33"/>
      <c r="H168" s="24" t="s">
        <v>54</v>
      </c>
      <c r="I168" s="21">
        <v>19669</v>
      </c>
      <c r="J168" s="33">
        <v>19542</v>
      </c>
      <c r="K168" s="34">
        <v>0</v>
      </c>
      <c r="L168" s="33">
        <f t="shared" si="54"/>
        <v>0</v>
      </c>
      <c r="M168" s="34">
        <v>1</v>
      </c>
      <c r="N168" s="33">
        <f t="shared" si="55"/>
        <v>19669</v>
      </c>
      <c r="O168" s="34">
        <v>0</v>
      </c>
      <c r="P168" s="33">
        <f t="shared" si="45"/>
        <v>0</v>
      </c>
      <c r="Q168" s="34">
        <v>0</v>
      </c>
      <c r="R168" s="33">
        <f t="shared" si="46"/>
        <v>0</v>
      </c>
      <c r="S168" s="34">
        <f t="shared" si="47"/>
        <v>1</v>
      </c>
      <c r="T168" s="34"/>
      <c r="U168" s="33">
        <v>49640</v>
      </c>
      <c r="V168" s="28">
        <v>52078</v>
      </c>
      <c r="W168" s="54"/>
      <c r="X168" s="28">
        <v>52078</v>
      </c>
      <c r="Y168" s="22"/>
      <c r="Z168" s="57">
        <v>2042</v>
      </c>
      <c r="AA168" s="33"/>
      <c r="AB168" s="33"/>
      <c r="AC168" s="78" t="s">
        <v>434</v>
      </c>
      <c r="AD168" s="34">
        <v>0</v>
      </c>
      <c r="AE168" s="62">
        <f t="shared" si="50"/>
        <v>0</v>
      </c>
      <c r="AF168" s="34">
        <v>0</v>
      </c>
      <c r="AG168" s="33">
        <f t="shared" si="52"/>
        <v>0</v>
      </c>
      <c r="AH168" s="58">
        <v>0</v>
      </c>
      <c r="AI168" s="33">
        <f t="shared" si="53"/>
        <v>0</v>
      </c>
      <c r="AJ168" s="24"/>
      <c r="AK168" s="54">
        <f t="shared" si="56"/>
        <v>0</v>
      </c>
      <c r="AL168" s="34">
        <v>0</v>
      </c>
      <c r="AM168" s="59">
        <f t="shared" si="51"/>
        <v>0</v>
      </c>
      <c r="AN168" s="67"/>
      <c r="AO168" s="67"/>
      <c r="AP168" s="67"/>
      <c r="AQ168" s="67"/>
      <c r="AR168" s="67"/>
      <c r="AS168" s="67"/>
      <c r="AT168" s="67"/>
      <c r="AU168" s="67"/>
      <c r="AV168" s="15"/>
      <c r="AW168" s="49"/>
      <c r="AX168" s="49"/>
    </row>
    <row r="169" spans="1:56" ht="15" customHeight="1">
      <c r="A169" s="55" t="s">
        <v>77</v>
      </c>
      <c r="B169" s="22" t="s">
        <v>486</v>
      </c>
      <c r="C169" s="24" t="s">
        <v>476</v>
      </c>
      <c r="D169" s="24" t="s">
        <v>74</v>
      </c>
      <c r="E169" s="177">
        <v>5458435.79</v>
      </c>
      <c r="F169" s="33">
        <v>1584597.04</v>
      </c>
      <c r="G169" s="33"/>
      <c r="H169" s="24" t="s">
        <v>54</v>
      </c>
      <c r="I169" s="21">
        <v>3262</v>
      </c>
      <c r="J169" s="33">
        <v>2248</v>
      </c>
      <c r="K169" s="34">
        <v>0</v>
      </c>
      <c r="L169" s="33">
        <f t="shared" si="54"/>
        <v>0</v>
      </c>
      <c r="M169" s="34">
        <v>1</v>
      </c>
      <c r="N169" s="33">
        <f t="shared" si="55"/>
        <v>3262</v>
      </c>
      <c r="O169" s="34">
        <v>0</v>
      </c>
      <c r="P169" s="33">
        <f t="shared" si="45"/>
        <v>0</v>
      </c>
      <c r="Q169" s="34">
        <v>0</v>
      </c>
      <c r="R169" s="33">
        <f t="shared" si="46"/>
        <v>0</v>
      </c>
      <c r="S169" s="34">
        <f t="shared" si="47"/>
        <v>1</v>
      </c>
      <c r="T169" s="34"/>
      <c r="U169" s="33">
        <v>4560</v>
      </c>
      <c r="V169" s="28">
        <v>52058</v>
      </c>
      <c r="W169" s="54"/>
      <c r="X169" s="28">
        <v>52058</v>
      </c>
      <c r="Y169" s="22"/>
      <c r="Z169" s="57">
        <v>2042</v>
      </c>
      <c r="AA169" s="33"/>
      <c r="AB169" s="33"/>
      <c r="AC169" s="78" t="s">
        <v>435</v>
      </c>
      <c r="AD169" s="34">
        <v>0</v>
      </c>
      <c r="AE169" s="62">
        <f t="shared" si="50"/>
        <v>0</v>
      </c>
      <c r="AF169" s="34">
        <v>0</v>
      </c>
      <c r="AG169" s="33">
        <f t="shared" si="52"/>
        <v>0</v>
      </c>
      <c r="AH169" s="58">
        <v>0</v>
      </c>
      <c r="AI169" s="33">
        <f t="shared" si="53"/>
        <v>0</v>
      </c>
      <c r="AJ169" s="24"/>
      <c r="AK169" s="54">
        <f t="shared" si="56"/>
        <v>0</v>
      </c>
      <c r="AL169" s="34">
        <v>0</v>
      </c>
      <c r="AM169" s="59">
        <f t="shared" si="51"/>
        <v>0</v>
      </c>
      <c r="AN169" s="67"/>
      <c r="AO169" s="67"/>
      <c r="AP169" s="67"/>
      <c r="AQ169" s="67"/>
      <c r="AR169" s="67"/>
      <c r="AS169" s="67"/>
      <c r="AT169" s="67"/>
      <c r="AU169" s="67"/>
      <c r="AV169" s="15"/>
      <c r="AW169" s="49"/>
      <c r="AX169" s="49"/>
    </row>
    <row r="170" spans="1:56" ht="15.75" customHeight="1">
      <c r="A170" s="55" t="s">
        <v>487</v>
      </c>
      <c r="B170" s="22" t="s">
        <v>383</v>
      </c>
      <c r="C170" s="24" t="s">
        <v>476</v>
      </c>
      <c r="D170" s="24" t="s">
        <v>92</v>
      </c>
      <c r="E170" s="177">
        <v>5714690.0999999996</v>
      </c>
      <c r="F170" s="33">
        <v>1867856.37</v>
      </c>
      <c r="G170" s="33"/>
      <c r="H170" s="24" t="s">
        <v>54</v>
      </c>
      <c r="I170" s="101">
        <v>2266438.693584803</v>
      </c>
      <c r="J170" s="33">
        <v>2230075</v>
      </c>
      <c r="K170" s="34"/>
      <c r="L170" s="33">
        <f t="shared" si="54"/>
        <v>0</v>
      </c>
      <c r="M170" s="34">
        <v>1</v>
      </c>
      <c r="N170" s="33">
        <f t="shared" si="55"/>
        <v>2266438.693584803</v>
      </c>
      <c r="O170" s="34"/>
      <c r="P170" s="33">
        <f t="shared" si="45"/>
        <v>0</v>
      </c>
      <c r="Q170" s="34"/>
      <c r="R170" s="33">
        <f t="shared" si="46"/>
        <v>0</v>
      </c>
      <c r="S170" s="34">
        <f t="shared" si="47"/>
        <v>1</v>
      </c>
      <c r="T170" s="34"/>
      <c r="U170" s="102">
        <v>2518265.2150942255</v>
      </c>
      <c r="V170" s="18" t="s">
        <v>104</v>
      </c>
      <c r="W170" s="149"/>
      <c r="X170" s="18" t="s">
        <v>104</v>
      </c>
      <c r="Y170" s="153"/>
      <c r="Z170" s="103">
        <v>2018</v>
      </c>
      <c r="AA170" s="33">
        <v>1415.2989550706322</v>
      </c>
      <c r="AB170" s="33">
        <v>561</v>
      </c>
      <c r="AC170" s="54"/>
      <c r="AD170" s="34"/>
      <c r="AE170" s="62">
        <f t="shared" si="50"/>
        <v>0</v>
      </c>
      <c r="AF170" s="34">
        <v>1</v>
      </c>
      <c r="AG170" s="33">
        <f t="shared" si="52"/>
        <v>1415.2989550706322</v>
      </c>
      <c r="AH170" s="58"/>
      <c r="AI170" s="33">
        <f t="shared" si="53"/>
        <v>0</v>
      </c>
      <c r="AJ170" s="24"/>
      <c r="AK170" s="54">
        <f t="shared" si="56"/>
        <v>0</v>
      </c>
      <c r="AL170" s="34"/>
      <c r="AM170" s="59">
        <f t="shared" si="51"/>
        <v>0</v>
      </c>
      <c r="AN170" s="22"/>
      <c r="AO170" s="60"/>
      <c r="AP170" s="68"/>
      <c r="AQ170" s="68"/>
      <c r="AR170" s="68"/>
      <c r="AS170" s="68"/>
      <c r="AT170" s="68"/>
      <c r="AU170" s="68"/>
      <c r="AV170" s="12"/>
      <c r="AW170" s="12"/>
      <c r="AX170" s="12"/>
      <c r="AY170" s="12"/>
    </row>
    <row r="171" spans="1:56" ht="15" customHeight="1">
      <c r="A171" s="55" t="s">
        <v>487</v>
      </c>
      <c r="B171" s="22" t="s">
        <v>383</v>
      </c>
      <c r="C171" s="24" t="s">
        <v>476</v>
      </c>
      <c r="D171" s="24" t="s">
        <v>93</v>
      </c>
      <c r="E171" s="177">
        <v>5682602.4199999999</v>
      </c>
      <c r="F171" s="33">
        <v>1841691.74</v>
      </c>
      <c r="G171" s="33"/>
      <c r="H171" s="24" t="s">
        <v>37</v>
      </c>
      <c r="I171" s="101">
        <v>501307</v>
      </c>
      <c r="J171" s="33">
        <v>474902</v>
      </c>
      <c r="K171" s="34">
        <v>1</v>
      </c>
      <c r="L171" s="33">
        <f t="shared" si="54"/>
        <v>501307</v>
      </c>
      <c r="M171" s="34"/>
      <c r="N171" s="33">
        <f t="shared" si="55"/>
        <v>0</v>
      </c>
      <c r="O171" s="34"/>
      <c r="P171" s="33">
        <f t="shared" si="45"/>
        <v>0</v>
      </c>
      <c r="Q171" s="34"/>
      <c r="R171" s="33">
        <f t="shared" si="46"/>
        <v>0</v>
      </c>
      <c r="S171" s="34">
        <f t="shared" si="47"/>
        <v>1</v>
      </c>
      <c r="T171" s="34"/>
      <c r="U171" s="102">
        <v>527691.57894736796</v>
      </c>
      <c r="V171" s="35"/>
      <c r="W171" s="54"/>
      <c r="X171" s="35"/>
      <c r="Y171" s="72" t="s">
        <v>424</v>
      </c>
      <c r="Z171" s="57">
        <v>2018</v>
      </c>
      <c r="AA171" s="33">
        <v>313.04587028003203</v>
      </c>
      <c r="AB171" s="33"/>
      <c r="AC171" s="54"/>
      <c r="AD171" s="34"/>
      <c r="AE171" s="62">
        <f t="shared" si="50"/>
        <v>0</v>
      </c>
      <c r="AF171" s="34">
        <v>1</v>
      </c>
      <c r="AG171" s="33">
        <f t="shared" si="52"/>
        <v>313.04587028003203</v>
      </c>
      <c r="AH171" s="58"/>
      <c r="AI171" s="33">
        <f t="shared" si="53"/>
        <v>0</v>
      </c>
      <c r="AJ171" s="24"/>
      <c r="AK171" s="54">
        <f t="shared" si="56"/>
        <v>0</v>
      </c>
      <c r="AL171" s="34"/>
      <c r="AM171" s="59">
        <f t="shared" si="51"/>
        <v>0</v>
      </c>
      <c r="AN171" s="72"/>
      <c r="AO171" s="68"/>
      <c r="AP171" s="68"/>
      <c r="AQ171" s="68"/>
      <c r="AR171" s="60"/>
      <c r="AS171" s="60"/>
      <c r="AT171" s="60"/>
      <c r="AU171" s="60"/>
      <c r="AV171" s="49"/>
      <c r="AW171" s="49"/>
      <c r="AX171" s="49"/>
    </row>
    <row r="172" spans="1:56" ht="15" customHeight="1">
      <c r="A172" s="55" t="s">
        <v>487</v>
      </c>
      <c r="B172" s="22" t="s">
        <v>383</v>
      </c>
      <c r="C172" s="24" t="s">
        <v>476</v>
      </c>
      <c r="D172" s="24" t="s">
        <v>94</v>
      </c>
      <c r="E172" s="177">
        <v>5712538.5</v>
      </c>
      <c r="F172" s="33">
        <v>1864069.64</v>
      </c>
      <c r="G172" s="33"/>
      <c r="H172" s="24" t="s">
        <v>54</v>
      </c>
      <c r="I172" s="101">
        <v>87381</v>
      </c>
      <c r="J172" s="33">
        <v>94408</v>
      </c>
      <c r="K172" s="34"/>
      <c r="L172" s="33">
        <f t="shared" si="54"/>
        <v>0</v>
      </c>
      <c r="M172" s="34">
        <v>1</v>
      </c>
      <c r="N172" s="33">
        <f t="shared" si="55"/>
        <v>87381</v>
      </c>
      <c r="O172" s="34"/>
      <c r="P172" s="33">
        <f t="shared" si="45"/>
        <v>0</v>
      </c>
      <c r="Q172" s="34"/>
      <c r="R172" s="33">
        <f t="shared" si="46"/>
        <v>0</v>
      </c>
      <c r="S172" s="34">
        <f t="shared" si="47"/>
        <v>1</v>
      </c>
      <c r="T172" s="34"/>
      <c r="U172" s="102">
        <v>87381</v>
      </c>
      <c r="V172" s="35"/>
      <c r="W172" s="54"/>
      <c r="X172" s="35"/>
      <c r="Y172" s="72" t="s">
        <v>424</v>
      </c>
      <c r="Z172" s="57">
        <v>2035</v>
      </c>
      <c r="AA172" s="33">
        <v>54.565887152861372</v>
      </c>
      <c r="AB172" s="33"/>
      <c r="AC172" s="54"/>
      <c r="AD172" s="34"/>
      <c r="AE172" s="62">
        <f t="shared" si="50"/>
        <v>0</v>
      </c>
      <c r="AF172" s="34">
        <v>1</v>
      </c>
      <c r="AG172" s="33">
        <f t="shared" si="52"/>
        <v>54.565887152861372</v>
      </c>
      <c r="AH172" s="58"/>
      <c r="AI172" s="33">
        <f t="shared" si="53"/>
        <v>0</v>
      </c>
      <c r="AJ172" s="24"/>
      <c r="AK172" s="54">
        <f t="shared" si="56"/>
        <v>0</v>
      </c>
      <c r="AL172" s="34"/>
      <c r="AM172" s="59">
        <f t="shared" si="51"/>
        <v>0</v>
      </c>
      <c r="AN172" s="22"/>
      <c r="AO172" s="60"/>
      <c r="AP172" s="68"/>
      <c r="AQ172" s="68"/>
      <c r="AR172" s="68"/>
      <c r="AS172" s="68"/>
      <c r="AT172" s="68"/>
      <c r="AU172" s="68"/>
      <c r="AV172" s="12"/>
      <c r="AW172" s="12"/>
      <c r="AX172" s="12"/>
      <c r="AY172" s="12"/>
    </row>
    <row r="173" spans="1:56" ht="15" customHeight="1">
      <c r="A173" s="55" t="s">
        <v>487</v>
      </c>
      <c r="B173" s="22" t="s">
        <v>383</v>
      </c>
      <c r="C173" s="24" t="s">
        <v>476</v>
      </c>
      <c r="D173" s="24" t="s">
        <v>95</v>
      </c>
      <c r="E173" s="177">
        <v>5717466.1600000001</v>
      </c>
      <c r="F173" s="33">
        <v>1854572.1</v>
      </c>
      <c r="G173" s="33"/>
      <c r="H173" s="24" t="s">
        <v>54</v>
      </c>
      <c r="I173" s="101">
        <v>63692.5</v>
      </c>
      <c r="J173" s="33">
        <v>61459</v>
      </c>
      <c r="K173" s="34"/>
      <c r="L173" s="33">
        <f t="shared" si="54"/>
        <v>0</v>
      </c>
      <c r="M173" s="34">
        <v>1</v>
      </c>
      <c r="N173" s="33">
        <f t="shared" si="55"/>
        <v>63692.5</v>
      </c>
      <c r="O173" s="34"/>
      <c r="P173" s="33">
        <f t="shared" si="45"/>
        <v>0</v>
      </c>
      <c r="Q173" s="34"/>
      <c r="R173" s="33">
        <f t="shared" si="46"/>
        <v>0</v>
      </c>
      <c r="S173" s="34">
        <f t="shared" si="47"/>
        <v>1</v>
      </c>
      <c r="T173" s="34"/>
      <c r="U173" s="102">
        <v>63692.5</v>
      </c>
      <c r="V173" s="35"/>
      <c r="W173" s="54"/>
      <c r="X173" s="35"/>
      <c r="Y173" s="72" t="s">
        <v>424</v>
      </c>
      <c r="Z173" s="57">
        <v>2039</v>
      </c>
      <c r="AA173" s="33">
        <v>39.773380568815</v>
      </c>
      <c r="AB173" s="33"/>
      <c r="AC173" s="54"/>
      <c r="AD173" s="34"/>
      <c r="AE173" s="62">
        <f t="shared" si="50"/>
        <v>0</v>
      </c>
      <c r="AF173" s="34">
        <v>1</v>
      </c>
      <c r="AG173" s="33">
        <f t="shared" si="52"/>
        <v>39.773380568815</v>
      </c>
      <c r="AH173" s="58"/>
      <c r="AI173" s="33">
        <f t="shared" si="53"/>
        <v>0</v>
      </c>
      <c r="AJ173" s="24"/>
      <c r="AK173" s="54">
        <f t="shared" si="56"/>
        <v>0</v>
      </c>
      <c r="AL173" s="34"/>
      <c r="AM173" s="59">
        <f t="shared" si="51"/>
        <v>0</v>
      </c>
      <c r="AN173" s="63"/>
      <c r="AO173" s="69"/>
      <c r="AP173" s="69"/>
      <c r="AQ173" s="69"/>
      <c r="AR173" s="69"/>
      <c r="AS173" s="69"/>
      <c r="AT173" s="69"/>
      <c r="AU173" s="69"/>
      <c r="AV173" s="16"/>
      <c r="AW173" s="49"/>
      <c r="AX173" s="49"/>
    </row>
    <row r="174" spans="1:56" ht="15" customHeight="1">
      <c r="A174" s="55" t="s">
        <v>487</v>
      </c>
      <c r="B174" s="22" t="s">
        <v>383</v>
      </c>
      <c r="C174" s="24" t="s">
        <v>476</v>
      </c>
      <c r="D174" s="24" t="s">
        <v>96</v>
      </c>
      <c r="E174" s="177">
        <v>5749892.125</v>
      </c>
      <c r="F174" s="33">
        <v>1842782.3</v>
      </c>
      <c r="G174" s="33" t="s">
        <v>318</v>
      </c>
      <c r="H174" s="24" t="s">
        <v>54</v>
      </c>
      <c r="I174" s="101">
        <v>91396</v>
      </c>
      <c r="J174" s="33">
        <v>83770</v>
      </c>
      <c r="K174" s="34"/>
      <c r="L174" s="33">
        <f t="shared" si="54"/>
        <v>0</v>
      </c>
      <c r="M174" s="34">
        <v>1</v>
      </c>
      <c r="N174" s="33">
        <f t="shared" si="55"/>
        <v>91396</v>
      </c>
      <c r="O174" s="34"/>
      <c r="P174" s="33">
        <f t="shared" si="45"/>
        <v>0</v>
      </c>
      <c r="Q174" s="34"/>
      <c r="R174" s="33">
        <f t="shared" si="46"/>
        <v>0</v>
      </c>
      <c r="S174" s="34">
        <f t="shared" si="47"/>
        <v>1</v>
      </c>
      <c r="T174" s="34"/>
      <c r="U174" s="102">
        <v>96206.315789473694</v>
      </c>
      <c r="V174" s="35"/>
      <c r="W174" s="54"/>
      <c r="X174" s="35"/>
      <c r="Y174" s="72" t="s">
        <v>436</v>
      </c>
      <c r="Z174" s="57">
        <v>2016</v>
      </c>
      <c r="AA174" s="33">
        <v>57.073091658631952</v>
      </c>
      <c r="AB174" s="33"/>
      <c r="AC174" s="54"/>
      <c r="AD174" s="34"/>
      <c r="AE174" s="62">
        <f t="shared" si="50"/>
        <v>0</v>
      </c>
      <c r="AF174" s="34">
        <v>1</v>
      </c>
      <c r="AG174" s="33">
        <f t="shared" si="52"/>
        <v>57.073091658631952</v>
      </c>
      <c r="AH174" s="58"/>
      <c r="AI174" s="33">
        <f t="shared" si="53"/>
        <v>0</v>
      </c>
      <c r="AJ174" s="24"/>
      <c r="AK174" s="54">
        <f t="shared" si="56"/>
        <v>0</v>
      </c>
      <c r="AL174" s="34"/>
      <c r="AM174" s="59">
        <f t="shared" si="51"/>
        <v>0</v>
      </c>
      <c r="AN174" s="69"/>
      <c r="AO174" s="69"/>
      <c r="AP174" s="69"/>
      <c r="AQ174" s="69"/>
      <c r="AR174" s="69"/>
      <c r="AS174" s="69"/>
      <c r="AT174" s="69"/>
      <c r="AU174" s="69"/>
      <c r="AV174" s="16"/>
      <c r="AW174" s="49"/>
      <c r="AX174" s="49"/>
    </row>
    <row r="175" spans="1:56" ht="15" customHeight="1">
      <c r="A175" s="55" t="s">
        <v>487</v>
      </c>
      <c r="B175" s="22" t="s">
        <v>383</v>
      </c>
      <c r="C175" s="24" t="s">
        <v>476</v>
      </c>
      <c r="D175" s="35" t="s">
        <v>97</v>
      </c>
      <c r="E175" s="177">
        <v>5745915.5199999996</v>
      </c>
      <c r="F175" s="33">
        <v>1864112.7</v>
      </c>
      <c r="G175" s="33"/>
      <c r="H175" s="24" t="s">
        <v>53</v>
      </c>
      <c r="I175" s="104">
        <v>6259.7499999999991</v>
      </c>
      <c r="J175" s="33">
        <v>6260</v>
      </c>
      <c r="K175" s="34"/>
      <c r="L175" s="33">
        <f t="shared" si="54"/>
        <v>0</v>
      </c>
      <c r="M175" s="34">
        <v>1</v>
      </c>
      <c r="N175" s="33">
        <f t="shared" si="55"/>
        <v>6259.7499999999991</v>
      </c>
      <c r="O175" s="34"/>
      <c r="P175" s="33">
        <f t="shared" si="45"/>
        <v>0</v>
      </c>
      <c r="Q175" s="34"/>
      <c r="R175" s="33">
        <f t="shared" si="46"/>
        <v>0</v>
      </c>
      <c r="S175" s="34">
        <f t="shared" si="47"/>
        <v>1</v>
      </c>
      <c r="T175" s="34"/>
      <c r="U175" s="102">
        <v>6259.7499999999991</v>
      </c>
      <c r="V175" s="24"/>
      <c r="W175" s="54"/>
      <c r="X175" s="35"/>
      <c r="Y175" s="72" t="s">
        <v>424</v>
      </c>
      <c r="Z175" s="57">
        <v>2024</v>
      </c>
      <c r="AA175" s="33">
        <v>3.9089597521786654</v>
      </c>
      <c r="AB175" s="33"/>
      <c r="AC175" s="54"/>
      <c r="AD175" s="34"/>
      <c r="AE175" s="62">
        <f t="shared" si="50"/>
        <v>0</v>
      </c>
      <c r="AF175" s="34">
        <v>1</v>
      </c>
      <c r="AG175" s="33">
        <f t="shared" si="52"/>
        <v>3.9089597521786654</v>
      </c>
      <c r="AH175" s="58"/>
      <c r="AI175" s="33">
        <f t="shared" si="53"/>
        <v>0</v>
      </c>
      <c r="AJ175" s="24"/>
      <c r="AK175" s="54">
        <f t="shared" si="56"/>
        <v>0</v>
      </c>
      <c r="AL175" s="34"/>
      <c r="AM175" s="59">
        <f t="shared" si="51"/>
        <v>0</v>
      </c>
      <c r="AN175" s="61"/>
      <c r="AO175" s="61"/>
      <c r="AP175" s="61"/>
      <c r="AQ175" s="61"/>
      <c r="AR175" s="61"/>
      <c r="AS175" s="61"/>
      <c r="AT175" s="61"/>
      <c r="AU175" s="60"/>
      <c r="AV175" s="49"/>
      <c r="AW175" s="49"/>
      <c r="AX175" s="49"/>
    </row>
    <row r="176" spans="1:56" ht="15" customHeight="1">
      <c r="A176" s="55" t="s">
        <v>487</v>
      </c>
      <c r="B176" s="22" t="s">
        <v>383</v>
      </c>
      <c r="C176" s="24" t="s">
        <v>476</v>
      </c>
      <c r="D176" s="35" t="s">
        <v>98</v>
      </c>
      <c r="E176" s="177">
        <v>5700993.1100000003</v>
      </c>
      <c r="F176" s="33">
        <v>1867367.49</v>
      </c>
      <c r="G176" s="33"/>
      <c r="H176" s="24" t="s">
        <v>37</v>
      </c>
      <c r="I176" s="105">
        <v>35944.603224999999</v>
      </c>
      <c r="J176" s="33">
        <v>28849</v>
      </c>
      <c r="K176" s="34"/>
      <c r="L176" s="33">
        <f t="shared" si="54"/>
        <v>0</v>
      </c>
      <c r="M176" s="34">
        <v>1</v>
      </c>
      <c r="N176" s="33">
        <f t="shared" si="55"/>
        <v>35944.603224999999</v>
      </c>
      <c r="O176" s="34"/>
      <c r="P176" s="33">
        <f t="shared" si="45"/>
        <v>0</v>
      </c>
      <c r="Q176" s="34"/>
      <c r="R176" s="33">
        <f t="shared" si="46"/>
        <v>0</v>
      </c>
      <c r="S176" s="34">
        <f t="shared" si="47"/>
        <v>1</v>
      </c>
      <c r="T176" s="34"/>
      <c r="U176" s="102">
        <v>35944.603224999999</v>
      </c>
      <c r="V176" s="35"/>
      <c r="W176" s="54"/>
      <c r="X176" s="35"/>
      <c r="Y176" s="72" t="s">
        <v>424</v>
      </c>
      <c r="Z176" s="57">
        <v>2022</v>
      </c>
      <c r="AA176" s="33">
        <v>22.44594549535628</v>
      </c>
      <c r="AB176" s="33"/>
      <c r="AC176" s="54"/>
      <c r="AD176" s="34"/>
      <c r="AE176" s="62">
        <f t="shared" si="50"/>
        <v>0</v>
      </c>
      <c r="AF176" s="34">
        <v>1</v>
      </c>
      <c r="AG176" s="33">
        <f t="shared" si="52"/>
        <v>22.44594549535628</v>
      </c>
      <c r="AH176" s="58"/>
      <c r="AI176" s="33">
        <f t="shared" si="53"/>
        <v>0</v>
      </c>
      <c r="AJ176" s="24"/>
      <c r="AK176" s="54">
        <f t="shared" si="56"/>
        <v>0</v>
      </c>
      <c r="AL176" s="34"/>
      <c r="AM176" s="59">
        <f t="shared" si="51"/>
        <v>0</v>
      </c>
      <c r="AN176" s="61"/>
      <c r="AO176" s="61"/>
      <c r="AP176" s="67"/>
      <c r="AQ176" s="67"/>
      <c r="AR176" s="67"/>
      <c r="AS176" s="67"/>
      <c r="AT176" s="67"/>
      <c r="AU176" s="67"/>
      <c r="AV176" s="15"/>
      <c r="AW176" s="15"/>
      <c r="AX176" s="15"/>
      <c r="AY176" s="15"/>
    </row>
    <row r="177" spans="1:56" ht="15" customHeight="1">
      <c r="A177" s="55" t="s">
        <v>487</v>
      </c>
      <c r="B177" s="22" t="s">
        <v>383</v>
      </c>
      <c r="C177" s="24" t="s">
        <v>476</v>
      </c>
      <c r="D177" s="35" t="s">
        <v>99</v>
      </c>
      <c r="E177" s="177">
        <v>5690395.2999999998</v>
      </c>
      <c r="F177" s="33">
        <v>1838400.84</v>
      </c>
      <c r="G177" s="33"/>
      <c r="H177" s="24" t="s">
        <v>54</v>
      </c>
      <c r="I177" s="104">
        <v>69369</v>
      </c>
      <c r="J177" s="33">
        <v>71832</v>
      </c>
      <c r="K177" s="34"/>
      <c r="L177" s="33">
        <f t="shared" si="54"/>
        <v>0</v>
      </c>
      <c r="M177" s="34">
        <v>1</v>
      </c>
      <c r="N177" s="33">
        <f t="shared" si="55"/>
        <v>69369</v>
      </c>
      <c r="O177" s="34"/>
      <c r="P177" s="33">
        <f t="shared" si="45"/>
        <v>0</v>
      </c>
      <c r="Q177" s="34"/>
      <c r="R177" s="33">
        <f t="shared" si="46"/>
        <v>0</v>
      </c>
      <c r="S177" s="34">
        <f t="shared" si="47"/>
        <v>1</v>
      </c>
      <c r="T177" s="34"/>
      <c r="U177" s="102">
        <v>69369</v>
      </c>
      <c r="V177" s="24"/>
      <c r="W177" s="54"/>
      <c r="X177" s="35"/>
      <c r="Y177" s="72" t="s">
        <v>424</v>
      </c>
      <c r="Z177" s="57">
        <v>2016</v>
      </c>
      <c r="AA177" s="33">
        <v>43.318124373797971</v>
      </c>
      <c r="AB177" s="33"/>
      <c r="AC177" s="54"/>
      <c r="AD177" s="34"/>
      <c r="AE177" s="62">
        <f t="shared" ref="AE177:AE208" si="57">AA177*AD177</f>
        <v>0</v>
      </c>
      <c r="AF177" s="34">
        <v>1</v>
      </c>
      <c r="AG177" s="33">
        <f t="shared" si="52"/>
        <v>43.318124373797971</v>
      </c>
      <c r="AH177" s="58"/>
      <c r="AI177" s="33">
        <f t="shared" si="53"/>
        <v>0</v>
      </c>
      <c r="AJ177" s="24"/>
      <c r="AK177" s="54">
        <f t="shared" si="56"/>
        <v>0</v>
      </c>
      <c r="AL177" s="34"/>
      <c r="AM177" s="59">
        <f t="shared" ref="AM177:AM208" si="58">AA177*AL177</f>
        <v>0</v>
      </c>
      <c r="AN177" s="67"/>
      <c r="AO177" s="67"/>
      <c r="AP177" s="67"/>
      <c r="AQ177" s="67"/>
      <c r="AR177" s="60"/>
      <c r="AS177" s="67"/>
      <c r="AT177" s="67"/>
      <c r="AU177" s="60"/>
      <c r="AV177" s="49"/>
      <c r="AW177" s="49"/>
      <c r="AX177" s="49"/>
    </row>
    <row r="178" spans="1:56" ht="15" customHeight="1">
      <c r="A178" s="55" t="s">
        <v>487</v>
      </c>
      <c r="B178" s="22" t="s">
        <v>383</v>
      </c>
      <c r="C178" s="24" t="s">
        <v>476</v>
      </c>
      <c r="D178" s="35" t="s">
        <v>100</v>
      </c>
      <c r="E178" s="177">
        <v>5686983.9299999997</v>
      </c>
      <c r="F178" s="33">
        <v>1849964.04</v>
      </c>
      <c r="G178" s="33"/>
      <c r="H178" s="24" t="s">
        <v>54</v>
      </c>
      <c r="I178" s="104">
        <v>36281</v>
      </c>
      <c r="J178" s="33">
        <v>33094</v>
      </c>
      <c r="K178" s="34"/>
      <c r="L178" s="33">
        <f t="shared" si="54"/>
        <v>0</v>
      </c>
      <c r="M178" s="34">
        <v>1</v>
      </c>
      <c r="N178" s="33">
        <f t="shared" si="55"/>
        <v>36281</v>
      </c>
      <c r="O178" s="34"/>
      <c r="P178" s="33">
        <f t="shared" si="45"/>
        <v>0</v>
      </c>
      <c r="Q178" s="34"/>
      <c r="R178" s="33">
        <f t="shared" si="46"/>
        <v>0</v>
      </c>
      <c r="S178" s="34">
        <f t="shared" si="47"/>
        <v>1</v>
      </c>
      <c r="T178" s="34"/>
      <c r="U178" s="102">
        <v>36281</v>
      </c>
      <c r="V178" s="35"/>
      <c r="W178" s="54"/>
      <c r="X178" s="35"/>
      <c r="Y178" s="72" t="s">
        <v>424</v>
      </c>
      <c r="Z178" s="57">
        <v>2033</v>
      </c>
      <c r="AA178" s="33">
        <v>22.656011624872267</v>
      </c>
      <c r="AB178" s="33"/>
      <c r="AC178" s="54"/>
      <c r="AD178" s="34"/>
      <c r="AE178" s="62">
        <f t="shared" si="57"/>
        <v>0</v>
      </c>
      <c r="AF178" s="34">
        <v>1</v>
      </c>
      <c r="AG178" s="33">
        <f t="shared" si="52"/>
        <v>22.656011624872267</v>
      </c>
      <c r="AH178" s="58"/>
      <c r="AI178" s="33">
        <f t="shared" si="53"/>
        <v>0</v>
      </c>
      <c r="AJ178" s="24"/>
      <c r="AK178" s="54">
        <f t="shared" si="56"/>
        <v>0</v>
      </c>
      <c r="AL178" s="34"/>
      <c r="AM178" s="59">
        <f t="shared" si="58"/>
        <v>0</v>
      </c>
      <c r="AN178" s="77"/>
      <c r="AO178" s="77"/>
      <c r="AP178" s="77"/>
      <c r="AQ178" s="77"/>
      <c r="AR178" s="77"/>
      <c r="AS178" s="77"/>
      <c r="AT178" s="77"/>
      <c r="AU178" s="77"/>
      <c r="AV178" s="7"/>
      <c r="AW178" s="49"/>
      <c r="AX178" s="49"/>
    </row>
    <row r="179" spans="1:56" ht="15" customHeight="1">
      <c r="A179" s="55" t="s">
        <v>487</v>
      </c>
      <c r="B179" s="22" t="s">
        <v>383</v>
      </c>
      <c r="C179" s="24" t="s">
        <v>476</v>
      </c>
      <c r="D179" s="35" t="s">
        <v>101</v>
      </c>
      <c r="E179" s="177">
        <v>5695310.0300000003</v>
      </c>
      <c r="F179" s="33">
        <v>1840469</v>
      </c>
      <c r="G179" s="33"/>
      <c r="H179" s="24" t="s">
        <v>54</v>
      </c>
      <c r="I179" s="33">
        <v>2453</v>
      </c>
      <c r="J179" s="33">
        <v>2453</v>
      </c>
      <c r="K179" s="34"/>
      <c r="L179" s="33">
        <f t="shared" si="54"/>
        <v>0</v>
      </c>
      <c r="M179" s="34">
        <v>1</v>
      </c>
      <c r="N179" s="33">
        <f t="shared" si="55"/>
        <v>2453</v>
      </c>
      <c r="O179" s="34"/>
      <c r="P179" s="33">
        <f t="shared" si="45"/>
        <v>0</v>
      </c>
      <c r="Q179" s="34"/>
      <c r="R179" s="33">
        <f t="shared" si="46"/>
        <v>0</v>
      </c>
      <c r="S179" s="34">
        <f t="shared" si="47"/>
        <v>1</v>
      </c>
      <c r="T179" s="34"/>
      <c r="U179" s="102">
        <v>2453</v>
      </c>
      <c r="V179" s="35"/>
      <c r="W179" s="54"/>
      <c r="X179" s="35"/>
      <c r="Y179" s="72" t="s">
        <v>424</v>
      </c>
      <c r="Z179" s="57">
        <v>2028</v>
      </c>
      <c r="AA179" s="33">
        <v>1.531798917224213</v>
      </c>
      <c r="AB179" s="33"/>
      <c r="AC179" s="54"/>
      <c r="AD179" s="34"/>
      <c r="AE179" s="62">
        <f t="shared" si="57"/>
        <v>0</v>
      </c>
      <c r="AF179" s="34">
        <v>1</v>
      </c>
      <c r="AG179" s="33">
        <f t="shared" si="52"/>
        <v>1.531798917224213</v>
      </c>
      <c r="AH179" s="58"/>
      <c r="AI179" s="33">
        <f t="shared" si="53"/>
        <v>0</v>
      </c>
      <c r="AJ179" s="24"/>
      <c r="AK179" s="54">
        <f t="shared" si="56"/>
        <v>0</v>
      </c>
      <c r="AL179" s="34"/>
      <c r="AM179" s="59">
        <f t="shared" si="58"/>
        <v>0</v>
      </c>
      <c r="AN179" s="67"/>
      <c r="AO179" s="67"/>
      <c r="AP179" s="67"/>
      <c r="AQ179" s="67"/>
      <c r="AR179" s="67"/>
      <c r="AS179" s="67"/>
      <c r="AT179" s="67"/>
      <c r="AU179" s="60"/>
      <c r="AV179" s="49"/>
      <c r="AW179" s="49"/>
      <c r="AX179" s="49"/>
    </row>
    <row r="180" spans="1:56" ht="15" customHeight="1">
      <c r="A180" s="55" t="s">
        <v>487</v>
      </c>
      <c r="B180" s="22" t="s">
        <v>383</v>
      </c>
      <c r="C180" s="24" t="s">
        <v>476</v>
      </c>
      <c r="D180" s="35" t="s">
        <v>102</v>
      </c>
      <c r="E180" s="177">
        <v>5691613.79</v>
      </c>
      <c r="F180" s="33">
        <v>1857046.42</v>
      </c>
      <c r="G180" s="33"/>
      <c r="H180" s="24" t="s">
        <v>54</v>
      </c>
      <c r="I180" s="104">
        <v>3431</v>
      </c>
      <c r="J180" s="33">
        <v>3468</v>
      </c>
      <c r="K180" s="34"/>
      <c r="L180" s="33">
        <f t="shared" si="54"/>
        <v>0</v>
      </c>
      <c r="M180" s="34">
        <v>1</v>
      </c>
      <c r="N180" s="33">
        <f t="shared" si="55"/>
        <v>3431</v>
      </c>
      <c r="O180" s="34"/>
      <c r="P180" s="33">
        <f t="shared" si="45"/>
        <v>0</v>
      </c>
      <c r="Q180" s="34"/>
      <c r="R180" s="33">
        <f t="shared" si="46"/>
        <v>0</v>
      </c>
      <c r="S180" s="34">
        <f t="shared" si="47"/>
        <v>1</v>
      </c>
      <c r="T180" s="34"/>
      <c r="U180" s="102">
        <v>3431</v>
      </c>
      <c r="V180" s="24"/>
      <c r="W180" s="54"/>
      <c r="X180" s="35"/>
      <c r="Y180" s="72" t="s">
        <v>436</v>
      </c>
      <c r="Z180" s="57">
        <v>2016</v>
      </c>
      <c r="AA180" s="33">
        <v>2.142520214022126</v>
      </c>
      <c r="AB180" s="33"/>
      <c r="AC180" s="54"/>
      <c r="AD180" s="34"/>
      <c r="AE180" s="62">
        <f t="shared" si="57"/>
        <v>0</v>
      </c>
      <c r="AF180" s="34">
        <v>1</v>
      </c>
      <c r="AG180" s="33">
        <f t="shared" si="52"/>
        <v>2.142520214022126</v>
      </c>
      <c r="AH180" s="58"/>
      <c r="AI180" s="33">
        <f t="shared" si="53"/>
        <v>0</v>
      </c>
      <c r="AJ180" s="24"/>
      <c r="AK180" s="54">
        <f t="shared" si="56"/>
        <v>0</v>
      </c>
      <c r="AL180" s="34"/>
      <c r="AM180" s="59">
        <f t="shared" si="58"/>
        <v>0</v>
      </c>
      <c r="AN180" s="60"/>
      <c r="AO180" s="60"/>
      <c r="AP180" s="60"/>
      <c r="AQ180" s="60"/>
      <c r="AR180" s="60"/>
      <c r="AS180" s="60"/>
      <c r="AT180" s="60"/>
      <c r="AU180" s="60"/>
      <c r="AV180" s="49"/>
      <c r="AW180" s="49"/>
      <c r="AX180" s="49"/>
    </row>
    <row r="181" spans="1:56" ht="15" customHeight="1">
      <c r="A181" s="55" t="s">
        <v>487</v>
      </c>
      <c r="B181" s="22" t="s">
        <v>383</v>
      </c>
      <c r="C181" s="24" t="s">
        <v>476</v>
      </c>
      <c r="D181" s="35" t="s">
        <v>103</v>
      </c>
      <c r="E181" s="177">
        <v>5743338.7589999996</v>
      </c>
      <c r="F181" s="33">
        <v>1845194.6059999999</v>
      </c>
      <c r="G181" s="33" t="s">
        <v>318</v>
      </c>
      <c r="H181" s="24" t="s">
        <v>53</v>
      </c>
      <c r="I181" s="104">
        <v>6789.0000000000009</v>
      </c>
      <c r="J181" s="33">
        <v>8647</v>
      </c>
      <c r="K181" s="34"/>
      <c r="L181" s="33">
        <f t="shared" si="54"/>
        <v>0</v>
      </c>
      <c r="M181" s="34">
        <v>1</v>
      </c>
      <c r="N181" s="33">
        <f t="shared" si="55"/>
        <v>6789.0000000000009</v>
      </c>
      <c r="O181" s="34"/>
      <c r="P181" s="33">
        <f t="shared" si="45"/>
        <v>0</v>
      </c>
      <c r="Q181" s="34"/>
      <c r="R181" s="33">
        <f t="shared" si="46"/>
        <v>0</v>
      </c>
      <c r="S181" s="34">
        <f t="shared" si="47"/>
        <v>1</v>
      </c>
      <c r="T181" s="34"/>
      <c r="U181" s="102">
        <v>6789.0000000000009</v>
      </c>
      <c r="V181" s="24"/>
      <c r="W181" s="54"/>
      <c r="X181" s="35"/>
      <c r="Y181" s="72" t="s">
        <v>424</v>
      </c>
      <c r="Z181" s="57"/>
      <c r="AA181" s="33">
        <v>4.2394548915756971</v>
      </c>
      <c r="AB181" s="33"/>
      <c r="AC181" s="54"/>
      <c r="AD181" s="34"/>
      <c r="AE181" s="62">
        <f t="shared" si="57"/>
        <v>0</v>
      </c>
      <c r="AF181" s="34">
        <v>1</v>
      </c>
      <c r="AG181" s="33">
        <f t="shared" si="52"/>
        <v>4.2394548915756971</v>
      </c>
      <c r="AH181" s="58"/>
      <c r="AI181" s="33">
        <f t="shared" si="53"/>
        <v>0</v>
      </c>
      <c r="AJ181" s="24"/>
      <c r="AK181" s="54">
        <f t="shared" si="56"/>
        <v>0</v>
      </c>
      <c r="AL181" s="34"/>
      <c r="AM181" s="59">
        <f t="shared" si="58"/>
        <v>0</v>
      </c>
      <c r="AN181" s="60"/>
      <c r="AO181" s="60"/>
      <c r="AP181" s="60"/>
      <c r="AQ181" s="60"/>
      <c r="AR181" s="60"/>
      <c r="AS181" s="60"/>
      <c r="AT181" s="60"/>
      <c r="AU181" s="60"/>
      <c r="AV181" s="49"/>
      <c r="AW181" s="49"/>
      <c r="AX181" s="49"/>
    </row>
    <row r="182" spans="1:56" ht="15" customHeight="1">
      <c r="A182" s="55" t="s">
        <v>91</v>
      </c>
      <c r="B182" s="22" t="s">
        <v>383</v>
      </c>
      <c r="C182" s="24" t="s">
        <v>476</v>
      </c>
      <c r="D182" s="24" t="s">
        <v>89</v>
      </c>
      <c r="E182" s="177">
        <v>5825816.4819999998</v>
      </c>
      <c r="F182" s="33">
        <v>1879053.875</v>
      </c>
      <c r="G182" s="33"/>
      <c r="H182" s="24" t="s">
        <v>37</v>
      </c>
      <c r="I182" s="56">
        <v>6822573</v>
      </c>
      <c r="J182" s="33">
        <v>6231800</v>
      </c>
      <c r="K182" s="34">
        <v>0</v>
      </c>
      <c r="L182" s="33">
        <f t="shared" si="54"/>
        <v>0</v>
      </c>
      <c r="M182" s="34">
        <v>0</v>
      </c>
      <c r="N182" s="33">
        <f t="shared" si="55"/>
        <v>0</v>
      </c>
      <c r="O182" s="34">
        <v>0</v>
      </c>
      <c r="P182" s="33">
        <f t="shared" si="45"/>
        <v>0</v>
      </c>
      <c r="Q182" s="34">
        <v>1</v>
      </c>
      <c r="R182" s="33">
        <f t="shared" si="46"/>
        <v>6822573</v>
      </c>
      <c r="S182" s="34">
        <f t="shared" si="47"/>
        <v>1</v>
      </c>
      <c r="T182" s="34">
        <v>0.06</v>
      </c>
      <c r="U182" s="33">
        <v>6200000</v>
      </c>
      <c r="V182" s="24">
        <v>2040</v>
      </c>
      <c r="W182" s="54">
        <v>2040</v>
      </c>
      <c r="X182" s="24">
        <v>2040</v>
      </c>
      <c r="Y182" s="72" t="s">
        <v>437</v>
      </c>
      <c r="Z182" s="57">
        <v>2040</v>
      </c>
      <c r="AA182" s="33">
        <v>970.41</v>
      </c>
      <c r="AB182" s="33">
        <v>720</v>
      </c>
      <c r="AC182" s="54"/>
      <c r="AD182" s="34">
        <v>0</v>
      </c>
      <c r="AE182" s="62">
        <f t="shared" si="57"/>
        <v>0</v>
      </c>
      <c r="AF182" s="34">
        <v>0</v>
      </c>
      <c r="AG182" s="33">
        <f t="shared" si="52"/>
        <v>0</v>
      </c>
      <c r="AH182" s="58">
        <v>1</v>
      </c>
      <c r="AI182" s="33">
        <f t="shared" si="53"/>
        <v>970.41</v>
      </c>
      <c r="AJ182" s="24"/>
      <c r="AK182" s="54">
        <f t="shared" si="56"/>
        <v>0</v>
      </c>
      <c r="AL182" s="34">
        <v>1</v>
      </c>
      <c r="AM182" s="59">
        <f t="shared" si="58"/>
        <v>970.41</v>
      </c>
      <c r="AN182" s="67"/>
      <c r="AO182" s="67"/>
      <c r="AP182" s="60"/>
      <c r="AQ182" s="60"/>
      <c r="AR182" s="60"/>
      <c r="AS182" s="60"/>
      <c r="AT182" s="60"/>
      <c r="AU182" s="60"/>
      <c r="AV182" s="49"/>
      <c r="AW182" s="49"/>
      <c r="AX182" s="49"/>
    </row>
    <row r="183" spans="1:56" ht="15" customHeight="1">
      <c r="A183" s="55" t="s">
        <v>91</v>
      </c>
      <c r="B183" s="22" t="s">
        <v>383</v>
      </c>
      <c r="C183" s="24" t="s">
        <v>476</v>
      </c>
      <c r="D183" s="24" t="s">
        <v>90</v>
      </c>
      <c r="E183" s="177">
        <v>5823826.5049999999</v>
      </c>
      <c r="F183" s="33">
        <v>1884805.7350000001</v>
      </c>
      <c r="G183" s="24"/>
      <c r="H183" s="24" t="s">
        <v>37</v>
      </c>
      <c r="I183" s="56">
        <v>3574294</v>
      </c>
      <c r="J183" s="33">
        <v>3420000</v>
      </c>
      <c r="K183" s="34">
        <v>0</v>
      </c>
      <c r="L183" s="33">
        <f t="shared" si="54"/>
        <v>0</v>
      </c>
      <c r="M183" s="34">
        <v>0</v>
      </c>
      <c r="N183" s="33">
        <f t="shared" si="55"/>
        <v>0</v>
      </c>
      <c r="O183" s="34">
        <v>0</v>
      </c>
      <c r="P183" s="33">
        <f t="shared" si="45"/>
        <v>0</v>
      </c>
      <c r="Q183" s="34">
        <v>1</v>
      </c>
      <c r="R183" s="33">
        <f t="shared" si="46"/>
        <v>3574294</v>
      </c>
      <c r="S183" s="34">
        <f t="shared" si="47"/>
        <v>1</v>
      </c>
      <c r="T183" s="34">
        <v>0.06</v>
      </c>
      <c r="U183" s="33">
        <v>4020000</v>
      </c>
      <c r="V183" s="24">
        <v>2040</v>
      </c>
      <c r="W183" s="54">
        <v>2040</v>
      </c>
      <c r="X183" s="24">
        <v>2040</v>
      </c>
      <c r="Y183" s="72" t="s">
        <v>437</v>
      </c>
      <c r="Z183" s="57">
        <v>2040</v>
      </c>
      <c r="AA183" s="33">
        <v>1368.75</v>
      </c>
      <c r="AB183" s="33">
        <v>700</v>
      </c>
      <c r="AC183" s="54"/>
      <c r="AD183" s="34">
        <v>0</v>
      </c>
      <c r="AE183" s="62">
        <f t="shared" si="57"/>
        <v>0</v>
      </c>
      <c r="AF183" s="34">
        <v>0</v>
      </c>
      <c r="AG183" s="33">
        <f t="shared" si="52"/>
        <v>0</v>
      </c>
      <c r="AH183" s="58"/>
      <c r="AI183" s="33">
        <f t="shared" si="53"/>
        <v>0</v>
      </c>
      <c r="AJ183" s="24"/>
      <c r="AK183" s="54">
        <f t="shared" si="56"/>
        <v>0</v>
      </c>
      <c r="AL183" s="34"/>
      <c r="AM183" s="59">
        <f t="shared" si="58"/>
        <v>0</v>
      </c>
      <c r="AN183" s="67"/>
      <c r="AO183" s="67"/>
      <c r="AP183" s="67"/>
      <c r="AQ183" s="67"/>
      <c r="AR183" s="60"/>
      <c r="AS183" s="60"/>
      <c r="AT183" s="60"/>
      <c r="AU183" s="60"/>
      <c r="AV183" s="49"/>
      <c r="AW183" s="49"/>
      <c r="AX183" s="49"/>
    </row>
    <row r="184" spans="1:56" ht="15" customHeight="1">
      <c r="A184" s="55" t="s">
        <v>88</v>
      </c>
      <c r="B184" s="22" t="s">
        <v>383</v>
      </c>
      <c r="C184" s="24" t="s">
        <v>476</v>
      </c>
      <c r="D184" s="24" t="s">
        <v>78</v>
      </c>
      <c r="E184" s="177">
        <v>5920970.2999999998</v>
      </c>
      <c r="F184" s="33">
        <v>1838446.7</v>
      </c>
      <c r="G184" s="65" t="s">
        <v>318</v>
      </c>
      <c r="H184" s="24" t="s">
        <v>37</v>
      </c>
      <c r="I184" s="21">
        <v>730000</v>
      </c>
      <c r="J184" s="33">
        <v>718030</v>
      </c>
      <c r="K184" s="34">
        <v>0.7</v>
      </c>
      <c r="L184" s="33">
        <f t="shared" si="54"/>
        <v>510999.99999999994</v>
      </c>
      <c r="M184" s="34">
        <v>0.3</v>
      </c>
      <c r="N184" s="33">
        <f t="shared" si="55"/>
        <v>219000</v>
      </c>
      <c r="O184" s="34">
        <v>0</v>
      </c>
      <c r="P184" s="33">
        <f t="shared" si="45"/>
        <v>0</v>
      </c>
      <c r="Q184" s="34">
        <v>0</v>
      </c>
      <c r="R184" s="33">
        <f t="shared" si="46"/>
        <v>0</v>
      </c>
      <c r="S184" s="34">
        <f t="shared" si="47"/>
        <v>1</v>
      </c>
      <c r="T184" s="34"/>
      <c r="U184" s="33">
        <v>1569500</v>
      </c>
      <c r="V184" s="35">
        <v>51560</v>
      </c>
      <c r="W184" s="54"/>
      <c r="X184" s="35">
        <v>51560</v>
      </c>
      <c r="Y184" s="72"/>
      <c r="Z184" s="57">
        <v>2041</v>
      </c>
      <c r="AA184" s="33">
        <v>658</v>
      </c>
      <c r="AB184" s="33"/>
      <c r="AC184" s="54"/>
      <c r="AD184" s="34"/>
      <c r="AE184" s="62">
        <f t="shared" si="57"/>
        <v>0</v>
      </c>
      <c r="AF184" s="34">
        <v>0.75</v>
      </c>
      <c r="AG184" s="33">
        <f t="shared" si="52"/>
        <v>493.5</v>
      </c>
      <c r="AH184" s="58">
        <v>0.25</v>
      </c>
      <c r="AI184" s="33">
        <f t="shared" si="53"/>
        <v>164.5</v>
      </c>
      <c r="AJ184" s="24"/>
      <c r="AK184" s="54">
        <f t="shared" si="56"/>
        <v>0</v>
      </c>
      <c r="AL184" s="34"/>
      <c r="AM184" s="59">
        <f t="shared" si="58"/>
        <v>0</v>
      </c>
      <c r="AN184" s="67"/>
      <c r="AO184" s="67"/>
      <c r="AP184" s="67"/>
      <c r="AQ184" s="67"/>
      <c r="AR184" s="67"/>
      <c r="AS184" s="67"/>
      <c r="AT184" s="67"/>
      <c r="AU184" s="67"/>
      <c r="AV184" s="15"/>
      <c r="AW184" s="49"/>
      <c r="AX184" s="49"/>
    </row>
    <row r="185" spans="1:56" ht="15" customHeight="1">
      <c r="A185" s="55" t="s">
        <v>88</v>
      </c>
      <c r="B185" s="22" t="s">
        <v>383</v>
      </c>
      <c r="C185" s="24" t="s">
        <v>476</v>
      </c>
      <c r="D185" s="24" t="s">
        <v>79</v>
      </c>
      <c r="E185" s="177">
        <v>5878224.4000000004</v>
      </c>
      <c r="F185" s="33">
        <v>1853555.1</v>
      </c>
      <c r="G185" s="65" t="s">
        <v>318</v>
      </c>
      <c r="H185" s="24" t="s">
        <v>37</v>
      </c>
      <c r="I185" s="21">
        <v>563000</v>
      </c>
      <c r="J185" s="33">
        <v>572768</v>
      </c>
      <c r="K185" s="34">
        <v>0</v>
      </c>
      <c r="L185" s="33">
        <f t="shared" si="54"/>
        <v>0</v>
      </c>
      <c r="M185" s="34">
        <v>1</v>
      </c>
      <c r="N185" s="33">
        <f t="shared" si="55"/>
        <v>563000</v>
      </c>
      <c r="O185" s="34">
        <v>0</v>
      </c>
      <c r="P185" s="33">
        <f t="shared" si="45"/>
        <v>0</v>
      </c>
      <c r="Q185" s="34">
        <v>0</v>
      </c>
      <c r="R185" s="33">
        <f t="shared" si="46"/>
        <v>0</v>
      </c>
      <c r="S185" s="34">
        <f t="shared" si="47"/>
        <v>1</v>
      </c>
      <c r="T185" s="34"/>
      <c r="U185" s="33">
        <v>1687030</v>
      </c>
      <c r="V185" s="35">
        <v>50040</v>
      </c>
      <c r="W185" s="54"/>
      <c r="X185" s="35">
        <v>50040</v>
      </c>
      <c r="Y185" s="72"/>
      <c r="Z185" s="57">
        <v>2036</v>
      </c>
      <c r="AA185" s="33">
        <v>374</v>
      </c>
      <c r="AB185" s="33"/>
      <c r="AC185" s="54"/>
      <c r="AD185" s="34">
        <v>0</v>
      </c>
      <c r="AE185" s="62">
        <f t="shared" si="57"/>
        <v>0</v>
      </c>
      <c r="AF185" s="34">
        <v>1</v>
      </c>
      <c r="AG185" s="33">
        <f t="shared" si="52"/>
        <v>374</v>
      </c>
      <c r="AH185" s="58">
        <v>0</v>
      </c>
      <c r="AI185" s="33">
        <f t="shared" si="53"/>
        <v>0</v>
      </c>
      <c r="AJ185" s="24"/>
      <c r="AK185" s="54">
        <f t="shared" si="56"/>
        <v>0</v>
      </c>
      <c r="AL185" s="34">
        <v>0</v>
      </c>
      <c r="AM185" s="59">
        <f t="shared" si="58"/>
        <v>0</v>
      </c>
      <c r="AN185" s="67"/>
      <c r="AO185" s="67"/>
      <c r="AP185" s="67"/>
      <c r="AQ185" s="67"/>
      <c r="AR185" s="67"/>
      <c r="AS185" s="67"/>
      <c r="AT185" s="67"/>
      <c r="AU185" s="67"/>
      <c r="AV185" s="15"/>
      <c r="AW185" s="49"/>
      <c r="AX185" s="49"/>
    </row>
    <row r="186" spans="1:56" ht="15" customHeight="1">
      <c r="A186" s="55" t="s">
        <v>88</v>
      </c>
      <c r="B186" s="22" t="s">
        <v>383</v>
      </c>
      <c r="C186" s="24" t="s">
        <v>476</v>
      </c>
      <c r="D186" s="24" t="s">
        <v>80</v>
      </c>
      <c r="E186" s="177">
        <v>5897675.7999999998</v>
      </c>
      <c r="F186" s="33">
        <v>1853846.4</v>
      </c>
      <c r="G186" s="65" t="s">
        <v>318</v>
      </c>
      <c r="H186" s="24" t="s">
        <v>37</v>
      </c>
      <c r="I186" s="21">
        <v>472000</v>
      </c>
      <c r="J186" s="33">
        <v>361506</v>
      </c>
      <c r="K186" s="34">
        <v>0</v>
      </c>
      <c r="L186" s="33">
        <f t="shared" si="54"/>
        <v>0</v>
      </c>
      <c r="M186" s="34">
        <v>1</v>
      </c>
      <c r="N186" s="33">
        <f t="shared" si="55"/>
        <v>472000</v>
      </c>
      <c r="O186" s="34">
        <v>0</v>
      </c>
      <c r="P186" s="33">
        <f t="shared" si="45"/>
        <v>0</v>
      </c>
      <c r="Q186" s="34">
        <v>0</v>
      </c>
      <c r="R186" s="33">
        <f t="shared" si="46"/>
        <v>0</v>
      </c>
      <c r="S186" s="34">
        <f t="shared" si="47"/>
        <v>1</v>
      </c>
      <c r="T186" s="34"/>
      <c r="U186" s="33">
        <v>1569500</v>
      </c>
      <c r="V186" s="35">
        <v>44312</v>
      </c>
      <c r="W186" s="54"/>
      <c r="X186" s="35">
        <v>47817</v>
      </c>
      <c r="Y186" s="72"/>
      <c r="Z186" s="57">
        <v>2030</v>
      </c>
      <c r="AA186" s="33">
        <v>298</v>
      </c>
      <c r="AB186" s="33"/>
      <c r="AC186" s="54"/>
      <c r="AD186" s="34">
        <v>0</v>
      </c>
      <c r="AE186" s="62">
        <f t="shared" si="57"/>
        <v>0</v>
      </c>
      <c r="AF186" s="34">
        <v>1</v>
      </c>
      <c r="AG186" s="33">
        <f t="shared" si="52"/>
        <v>298</v>
      </c>
      <c r="AH186" s="58">
        <v>0</v>
      </c>
      <c r="AI186" s="33">
        <f t="shared" si="53"/>
        <v>0</v>
      </c>
      <c r="AJ186" s="24"/>
      <c r="AK186" s="54">
        <f t="shared" si="56"/>
        <v>0</v>
      </c>
      <c r="AL186" s="34">
        <v>0</v>
      </c>
      <c r="AM186" s="59">
        <f t="shared" si="58"/>
        <v>0</v>
      </c>
      <c r="AN186" s="60"/>
      <c r="AO186" s="60"/>
      <c r="AP186" s="60"/>
      <c r="AQ186" s="60"/>
      <c r="AR186" s="60"/>
      <c r="AS186" s="60"/>
      <c r="AT186" s="60"/>
      <c r="AU186" s="60"/>
      <c r="AV186" s="49"/>
      <c r="AW186" s="49"/>
      <c r="AX186" s="49"/>
    </row>
    <row r="187" spans="1:56" ht="15" customHeight="1">
      <c r="A187" s="55" t="s">
        <v>88</v>
      </c>
      <c r="B187" s="22" t="s">
        <v>383</v>
      </c>
      <c r="C187" s="24" t="s">
        <v>476</v>
      </c>
      <c r="D187" s="24" t="s">
        <v>81</v>
      </c>
      <c r="E187" s="177">
        <v>5929240.96</v>
      </c>
      <c r="F187" s="33">
        <v>1822544.99</v>
      </c>
      <c r="G187" s="33" t="s">
        <v>392</v>
      </c>
      <c r="H187" s="24" t="s">
        <v>54</v>
      </c>
      <c r="I187" s="21">
        <v>180000</v>
      </c>
      <c r="J187" s="33">
        <v>164320</v>
      </c>
      <c r="K187" s="34">
        <v>1</v>
      </c>
      <c r="L187" s="33">
        <f t="shared" si="54"/>
        <v>180000</v>
      </c>
      <c r="M187" s="34">
        <v>0</v>
      </c>
      <c r="N187" s="33">
        <f t="shared" si="55"/>
        <v>0</v>
      </c>
      <c r="O187" s="34">
        <v>0</v>
      </c>
      <c r="P187" s="33">
        <f t="shared" si="45"/>
        <v>0</v>
      </c>
      <c r="Q187" s="34">
        <v>0</v>
      </c>
      <c r="R187" s="33">
        <f t="shared" si="46"/>
        <v>0</v>
      </c>
      <c r="S187" s="34">
        <f t="shared" si="47"/>
        <v>1</v>
      </c>
      <c r="T187" s="34"/>
      <c r="U187" s="33">
        <v>534725</v>
      </c>
      <c r="V187" s="35">
        <v>46357</v>
      </c>
      <c r="W187" s="54"/>
      <c r="X187" s="35">
        <v>46357</v>
      </c>
      <c r="Y187" s="72"/>
      <c r="Z187" s="57">
        <v>2026</v>
      </c>
      <c r="AA187" s="33"/>
      <c r="AB187" s="33"/>
      <c r="AC187" s="54"/>
      <c r="AD187" s="34"/>
      <c r="AE187" s="62">
        <f t="shared" si="57"/>
        <v>0</v>
      </c>
      <c r="AF187" s="34">
        <v>1</v>
      </c>
      <c r="AG187" s="33">
        <f t="shared" si="52"/>
        <v>0</v>
      </c>
      <c r="AH187" s="58"/>
      <c r="AI187" s="33">
        <f t="shared" si="53"/>
        <v>0</v>
      </c>
      <c r="AJ187" s="24"/>
      <c r="AK187" s="54">
        <f t="shared" si="56"/>
        <v>0</v>
      </c>
      <c r="AL187" s="34"/>
      <c r="AM187" s="59">
        <f t="shared" si="58"/>
        <v>0</v>
      </c>
      <c r="AN187" s="68"/>
      <c r="AO187" s="68"/>
      <c r="AP187" s="60"/>
      <c r="AQ187" s="60"/>
      <c r="AR187" s="60"/>
      <c r="AS187" s="60"/>
      <c r="AT187" s="60"/>
      <c r="AU187" s="60"/>
      <c r="AV187" s="49"/>
      <c r="AW187" s="49"/>
      <c r="AX187" s="49"/>
    </row>
    <row r="188" spans="1:56" ht="15" customHeight="1">
      <c r="A188" s="55" t="s">
        <v>88</v>
      </c>
      <c r="B188" s="22" t="s">
        <v>383</v>
      </c>
      <c r="C188" s="24" t="s">
        <v>476</v>
      </c>
      <c r="D188" s="24" t="s">
        <v>82</v>
      </c>
      <c r="E188" s="177">
        <v>5918770.9000000004</v>
      </c>
      <c r="F188" s="33">
        <v>1850263.5</v>
      </c>
      <c r="G188" s="65" t="s">
        <v>318</v>
      </c>
      <c r="H188" s="24" t="s">
        <v>54</v>
      </c>
      <c r="I188" s="21">
        <v>24000</v>
      </c>
      <c r="J188" s="33">
        <v>34901</v>
      </c>
      <c r="K188" s="34">
        <v>1</v>
      </c>
      <c r="L188" s="33">
        <f t="shared" si="54"/>
        <v>24000</v>
      </c>
      <c r="M188" s="34">
        <v>0</v>
      </c>
      <c r="N188" s="33">
        <f t="shared" si="55"/>
        <v>0</v>
      </c>
      <c r="O188" s="34">
        <v>0</v>
      </c>
      <c r="P188" s="33">
        <f t="shared" si="45"/>
        <v>0</v>
      </c>
      <c r="Q188" s="34">
        <v>0</v>
      </c>
      <c r="R188" s="33">
        <f t="shared" si="46"/>
        <v>0</v>
      </c>
      <c r="S188" s="34">
        <f t="shared" si="47"/>
        <v>1</v>
      </c>
      <c r="T188" s="34"/>
      <c r="U188" s="33">
        <v>68620</v>
      </c>
      <c r="V188" s="35">
        <v>42369</v>
      </c>
      <c r="W188" s="54"/>
      <c r="X188" s="35">
        <v>42369</v>
      </c>
      <c r="Y188" s="72" t="s">
        <v>436</v>
      </c>
      <c r="Z188" s="57">
        <v>2015</v>
      </c>
      <c r="AA188" s="33"/>
      <c r="AB188" s="33"/>
      <c r="AC188" s="54"/>
      <c r="AD188" s="34"/>
      <c r="AE188" s="62">
        <f t="shared" si="57"/>
        <v>0</v>
      </c>
      <c r="AF188" s="34">
        <v>1</v>
      </c>
      <c r="AG188" s="33">
        <f t="shared" si="52"/>
        <v>0</v>
      </c>
      <c r="AH188" s="58"/>
      <c r="AI188" s="33">
        <f t="shared" si="53"/>
        <v>0</v>
      </c>
      <c r="AJ188" s="24"/>
      <c r="AK188" s="54">
        <f t="shared" si="56"/>
        <v>0</v>
      </c>
      <c r="AL188" s="34"/>
      <c r="AM188" s="59">
        <f t="shared" si="58"/>
        <v>0</v>
      </c>
      <c r="AN188" s="60"/>
      <c r="AO188" s="60"/>
      <c r="AP188" s="60"/>
      <c r="AQ188" s="60"/>
      <c r="AR188" s="60"/>
      <c r="AS188" s="60"/>
      <c r="AT188" s="60"/>
      <c r="AU188" s="60"/>
      <c r="AV188" s="49"/>
      <c r="AW188" s="49"/>
      <c r="AX188" s="49"/>
    </row>
    <row r="189" spans="1:56" ht="15" customHeight="1">
      <c r="A189" s="55" t="s">
        <v>88</v>
      </c>
      <c r="B189" s="22" t="s">
        <v>383</v>
      </c>
      <c r="C189" s="24" t="s">
        <v>476</v>
      </c>
      <c r="D189" s="24" t="s">
        <v>83</v>
      </c>
      <c r="E189" s="177">
        <v>5885859.2000000002</v>
      </c>
      <c r="F189" s="33">
        <v>1826180.7</v>
      </c>
      <c r="G189" s="65" t="s">
        <v>318</v>
      </c>
      <c r="H189" s="24" t="s">
        <v>54</v>
      </c>
      <c r="I189" s="21">
        <v>1488000</v>
      </c>
      <c r="J189" s="33">
        <v>1236573</v>
      </c>
      <c r="K189" s="34">
        <v>0</v>
      </c>
      <c r="L189" s="33">
        <f t="shared" si="54"/>
        <v>0</v>
      </c>
      <c r="M189" s="34">
        <v>0</v>
      </c>
      <c r="N189" s="33">
        <f t="shared" si="55"/>
        <v>0</v>
      </c>
      <c r="O189" s="34">
        <v>0</v>
      </c>
      <c r="P189" s="33">
        <f t="shared" si="45"/>
        <v>0</v>
      </c>
      <c r="Q189" s="34">
        <v>1</v>
      </c>
      <c r="R189" s="33">
        <f t="shared" si="46"/>
        <v>1488000</v>
      </c>
      <c r="S189" s="34">
        <f t="shared" si="47"/>
        <v>1</v>
      </c>
      <c r="T189" s="34"/>
      <c r="U189" s="33">
        <v>1700900</v>
      </c>
      <c r="V189" s="35">
        <v>43620</v>
      </c>
      <c r="W189" s="54"/>
      <c r="X189" s="35">
        <v>43627</v>
      </c>
      <c r="Y189" s="72"/>
      <c r="Z189" s="57">
        <v>2019</v>
      </c>
      <c r="AA189" s="33"/>
      <c r="AB189" s="33"/>
      <c r="AC189" s="54"/>
      <c r="AD189" s="34"/>
      <c r="AE189" s="62">
        <f t="shared" si="57"/>
        <v>0</v>
      </c>
      <c r="AF189" s="34">
        <v>1</v>
      </c>
      <c r="AG189" s="33">
        <f t="shared" si="52"/>
        <v>0</v>
      </c>
      <c r="AH189" s="58"/>
      <c r="AI189" s="33">
        <f t="shared" si="53"/>
        <v>0</v>
      </c>
      <c r="AJ189" s="24"/>
      <c r="AK189" s="54">
        <f t="shared" si="56"/>
        <v>0</v>
      </c>
      <c r="AL189" s="34"/>
      <c r="AM189" s="59">
        <f t="shared" si="58"/>
        <v>0</v>
      </c>
      <c r="AN189" s="68"/>
      <c r="AO189" s="68"/>
      <c r="AP189" s="60"/>
      <c r="AQ189" s="60"/>
      <c r="AR189" s="60"/>
      <c r="AS189" s="60"/>
      <c r="AT189" s="60"/>
      <c r="AU189" s="60"/>
      <c r="AV189" s="49"/>
      <c r="AW189" s="49"/>
      <c r="AX189" s="49"/>
    </row>
    <row r="190" spans="1:56" ht="15" customHeight="1">
      <c r="A190" s="55" t="s">
        <v>88</v>
      </c>
      <c r="B190" s="22" t="s">
        <v>383</v>
      </c>
      <c r="C190" s="24" t="s">
        <v>476</v>
      </c>
      <c r="D190" s="24" t="s">
        <v>84</v>
      </c>
      <c r="E190" s="177">
        <v>5932116.6399999997</v>
      </c>
      <c r="F190" s="33">
        <v>1820280.96</v>
      </c>
      <c r="G190" s="65" t="s">
        <v>377</v>
      </c>
      <c r="H190" s="24" t="s">
        <v>53</v>
      </c>
      <c r="I190" s="21">
        <v>2600</v>
      </c>
      <c r="J190" s="33">
        <v>6803</v>
      </c>
      <c r="K190" s="34">
        <v>0</v>
      </c>
      <c r="L190" s="33">
        <f t="shared" si="54"/>
        <v>0</v>
      </c>
      <c r="M190" s="34">
        <v>1</v>
      </c>
      <c r="N190" s="33">
        <f t="shared" si="55"/>
        <v>2600</v>
      </c>
      <c r="O190" s="34">
        <v>0</v>
      </c>
      <c r="P190" s="33">
        <f t="shared" si="45"/>
        <v>0</v>
      </c>
      <c r="Q190" s="34">
        <v>0</v>
      </c>
      <c r="R190" s="33">
        <f t="shared" si="46"/>
        <v>0</v>
      </c>
      <c r="S190" s="34">
        <f t="shared" si="47"/>
        <v>1</v>
      </c>
      <c r="T190" s="34"/>
      <c r="U190" s="33"/>
      <c r="V190" s="35">
        <v>45444</v>
      </c>
      <c r="W190" s="54"/>
      <c r="X190" s="35">
        <v>45444</v>
      </c>
      <c r="Y190" s="72"/>
      <c r="Z190" s="57">
        <v>2024</v>
      </c>
      <c r="AA190" s="33"/>
      <c r="AB190" s="33"/>
      <c r="AC190" s="54"/>
      <c r="AD190" s="34"/>
      <c r="AE190" s="62">
        <f t="shared" si="57"/>
        <v>0</v>
      </c>
      <c r="AF190" s="34">
        <v>1</v>
      </c>
      <c r="AG190" s="33">
        <f t="shared" si="52"/>
        <v>0</v>
      </c>
      <c r="AH190" s="58"/>
      <c r="AI190" s="33">
        <f t="shared" si="53"/>
        <v>0</v>
      </c>
      <c r="AJ190" s="24"/>
      <c r="AK190" s="54">
        <f t="shared" si="56"/>
        <v>0</v>
      </c>
      <c r="AL190" s="34"/>
      <c r="AM190" s="59">
        <f t="shared" si="58"/>
        <v>0</v>
      </c>
      <c r="AN190" s="60"/>
      <c r="AO190" s="60"/>
      <c r="AP190" s="60"/>
      <c r="AQ190" s="60"/>
      <c r="AR190" s="60"/>
      <c r="AS190" s="60"/>
      <c r="AT190" s="60"/>
      <c r="AU190" s="60"/>
      <c r="AV190" s="49"/>
      <c r="AW190" s="49"/>
      <c r="AX190" s="49"/>
    </row>
    <row r="191" spans="1:56" ht="15" customHeight="1">
      <c r="A191" s="55" t="s">
        <v>88</v>
      </c>
      <c r="B191" s="22" t="s">
        <v>383</v>
      </c>
      <c r="C191" s="24" t="s">
        <v>476</v>
      </c>
      <c r="D191" s="24" t="s">
        <v>85</v>
      </c>
      <c r="E191" s="183">
        <v>5930974.5</v>
      </c>
      <c r="F191" s="106">
        <v>1838551</v>
      </c>
      <c r="G191" s="107" t="s">
        <v>318</v>
      </c>
      <c r="H191" s="108" t="s">
        <v>53</v>
      </c>
      <c r="I191" s="42">
        <v>60000</v>
      </c>
      <c r="J191" s="106">
        <v>106654</v>
      </c>
      <c r="K191" s="109">
        <v>0</v>
      </c>
      <c r="L191" s="106">
        <f t="shared" si="54"/>
        <v>0</v>
      </c>
      <c r="M191" s="109">
        <v>1</v>
      </c>
      <c r="N191" s="106">
        <f t="shared" si="55"/>
        <v>60000</v>
      </c>
      <c r="O191" s="109">
        <v>0</v>
      </c>
      <c r="P191" s="106">
        <f t="shared" si="45"/>
        <v>0</v>
      </c>
      <c r="Q191" s="109">
        <v>0</v>
      </c>
      <c r="R191" s="106">
        <f t="shared" si="46"/>
        <v>0</v>
      </c>
      <c r="S191" s="109">
        <f t="shared" si="47"/>
        <v>1</v>
      </c>
      <c r="T191" s="109"/>
      <c r="U191" s="106"/>
      <c r="V191" s="110">
        <v>44166</v>
      </c>
      <c r="W191" s="112"/>
      <c r="X191" s="110">
        <v>44166</v>
      </c>
      <c r="Y191" s="72"/>
      <c r="Z191" s="111">
        <v>2020</v>
      </c>
      <c r="AA191" s="106"/>
      <c r="AB191" s="106"/>
      <c r="AC191" s="112"/>
      <c r="AD191" s="34"/>
      <c r="AE191" s="113">
        <f t="shared" si="57"/>
        <v>0</v>
      </c>
      <c r="AF191" s="34">
        <v>1</v>
      </c>
      <c r="AG191" s="33">
        <f t="shared" si="52"/>
        <v>0</v>
      </c>
      <c r="AH191" s="114"/>
      <c r="AI191" s="106">
        <f t="shared" si="53"/>
        <v>0</v>
      </c>
      <c r="AJ191" s="108"/>
      <c r="AK191" s="112">
        <f t="shared" si="56"/>
        <v>0</v>
      </c>
      <c r="AL191" s="34"/>
      <c r="AM191" s="115">
        <f t="shared" si="58"/>
        <v>0</v>
      </c>
      <c r="AN191" s="60"/>
      <c r="AO191" s="60"/>
      <c r="AP191" s="67"/>
      <c r="AQ191" s="67"/>
      <c r="AR191" s="67"/>
      <c r="AS191" s="67"/>
      <c r="AT191" s="67"/>
      <c r="AU191" s="67"/>
      <c r="AV191" s="15"/>
      <c r="AW191" s="15"/>
      <c r="AX191" s="15"/>
      <c r="AY191" s="15"/>
    </row>
    <row r="192" spans="1:56" s="9" customFormat="1" ht="15" customHeight="1">
      <c r="A192" s="116" t="s">
        <v>88</v>
      </c>
      <c r="B192" s="22" t="s">
        <v>383</v>
      </c>
      <c r="C192" s="24" t="s">
        <v>476</v>
      </c>
      <c r="D192" s="24" t="s">
        <v>86</v>
      </c>
      <c r="E192" s="177">
        <v>5918457.3959999997</v>
      </c>
      <c r="F192" s="33">
        <v>1844778.486</v>
      </c>
      <c r="G192" s="33" t="s">
        <v>392</v>
      </c>
      <c r="H192" s="24" t="s">
        <v>53</v>
      </c>
      <c r="I192" s="21">
        <v>48000</v>
      </c>
      <c r="J192" s="33">
        <v>70831</v>
      </c>
      <c r="K192" s="34">
        <v>0</v>
      </c>
      <c r="L192" s="33">
        <f t="shared" si="54"/>
        <v>0</v>
      </c>
      <c r="M192" s="34">
        <v>1</v>
      </c>
      <c r="N192" s="33">
        <f t="shared" si="55"/>
        <v>48000</v>
      </c>
      <c r="O192" s="34">
        <v>0</v>
      </c>
      <c r="P192" s="33">
        <f t="shared" si="45"/>
        <v>0</v>
      </c>
      <c r="Q192" s="34">
        <v>0</v>
      </c>
      <c r="R192" s="33">
        <f t="shared" si="46"/>
        <v>0</v>
      </c>
      <c r="S192" s="34">
        <f t="shared" si="47"/>
        <v>1</v>
      </c>
      <c r="T192" s="34"/>
      <c r="U192" s="33">
        <v>620500</v>
      </c>
      <c r="V192" s="35">
        <v>43495</v>
      </c>
      <c r="W192" s="54"/>
      <c r="X192" s="35">
        <v>43646</v>
      </c>
      <c r="Y192" s="154"/>
      <c r="Z192" s="57">
        <v>2019</v>
      </c>
      <c r="AA192" s="33"/>
      <c r="AB192" s="33"/>
      <c r="AC192" s="54"/>
      <c r="AD192" s="34"/>
      <c r="AE192" s="62">
        <f t="shared" si="57"/>
        <v>0</v>
      </c>
      <c r="AF192" s="34">
        <v>1</v>
      </c>
      <c r="AG192" s="33">
        <f t="shared" si="52"/>
        <v>0</v>
      </c>
      <c r="AH192" s="58"/>
      <c r="AI192" s="33">
        <f t="shared" si="53"/>
        <v>0</v>
      </c>
      <c r="AJ192" s="24"/>
      <c r="AK192" s="54">
        <f t="shared" si="56"/>
        <v>0</v>
      </c>
      <c r="AL192" s="34"/>
      <c r="AM192" s="59">
        <f t="shared" si="58"/>
        <v>0</v>
      </c>
      <c r="AN192" s="64"/>
      <c r="AO192" s="64"/>
      <c r="AP192" s="64"/>
      <c r="AQ192" s="64"/>
      <c r="AR192" s="64"/>
      <c r="AS192" s="64"/>
      <c r="AT192" s="64"/>
      <c r="AU192" s="64"/>
      <c r="AV192" s="46"/>
      <c r="AW192" s="46"/>
      <c r="AX192" s="46"/>
      <c r="AY192" s="4"/>
      <c r="AZ192" s="13"/>
      <c r="BA192" s="13"/>
      <c r="BB192" s="13"/>
      <c r="BC192" s="13"/>
      <c r="BD192" s="13"/>
    </row>
    <row r="193" spans="1:56" s="9" customFormat="1" ht="15" customHeight="1">
      <c r="A193" s="116" t="s">
        <v>88</v>
      </c>
      <c r="B193" s="22" t="s">
        <v>383</v>
      </c>
      <c r="C193" s="24" t="s">
        <v>476</v>
      </c>
      <c r="D193" s="24" t="s">
        <v>87</v>
      </c>
      <c r="E193" s="177">
        <v>5883477.2999999998</v>
      </c>
      <c r="F193" s="33">
        <v>1855333.6</v>
      </c>
      <c r="G193" s="33" t="s">
        <v>392</v>
      </c>
      <c r="H193" s="24" t="s">
        <v>53</v>
      </c>
      <c r="I193" s="21">
        <v>36000</v>
      </c>
      <c r="J193" s="33">
        <v>46158</v>
      </c>
      <c r="K193" s="34">
        <v>0</v>
      </c>
      <c r="L193" s="33">
        <f t="shared" si="54"/>
        <v>0</v>
      </c>
      <c r="M193" s="34">
        <v>1</v>
      </c>
      <c r="N193" s="33">
        <f t="shared" si="55"/>
        <v>36000</v>
      </c>
      <c r="O193" s="34">
        <v>0</v>
      </c>
      <c r="P193" s="33">
        <f t="shared" si="45"/>
        <v>0</v>
      </c>
      <c r="Q193" s="34">
        <v>0</v>
      </c>
      <c r="R193" s="33">
        <f t="shared" si="46"/>
        <v>0</v>
      </c>
      <c r="S193" s="34">
        <f t="shared" si="47"/>
        <v>1</v>
      </c>
      <c r="T193" s="34"/>
      <c r="U193" s="33"/>
      <c r="V193" s="35">
        <v>44530</v>
      </c>
      <c r="W193" s="54"/>
      <c r="X193" s="35">
        <v>44530</v>
      </c>
      <c r="Y193" s="154"/>
      <c r="Z193" s="57">
        <v>2021</v>
      </c>
      <c r="AA193" s="33"/>
      <c r="AB193" s="33"/>
      <c r="AC193" s="54"/>
      <c r="AD193" s="34"/>
      <c r="AE193" s="62">
        <f t="shared" si="57"/>
        <v>0</v>
      </c>
      <c r="AF193" s="34">
        <v>1</v>
      </c>
      <c r="AG193" s="33">
        <f t="shared" si="52"/>
        <v>0</v>
      </c>
      <c r="AH193" s="58"/>
      <c r="AI193" s="33">
        <f t="shared" si="53"/>
        <v>0</v>
      </c>
      <c r="AJ193" s="24"/>
      <c r="AK193" s="54">
        <f t="shared" si="56"/>
        <v>0</v>
      </c>
      <c r="AL193" s="34"/>
      <c r="AM193" s="59">
        <f t="shared" si="58"/>
        <v>0</v>
      </c>
      <c r="AN193" s="64"/>
      <c r="AO193" s="64"/>
      <c r="AP193" s="64"/>
      <c r="AQ193" s="64"/>
      <c r="AR193" s="64"/>
      <c r="AS193" s="64"/>
      <c r="AT193" s="64"/>
      <c r="AU193" s="64"/>
      <c r="AV193" s="46"/>
      <c r="AW193" s="46"/>
      <c r="AX193" s="46"/>
      <c r="AY193" s="4"/>
      <c r="AZ193" s="13"/>
      <c r="BA193" s="13"/>
      <c r="BB193" s="13"/>
      <c r="BC193" s="13"/>
      <c r="BD193" s="13"/>
    </row>
    <row r="194" spans="1:56" s="9" customFormat="1" ht="15" customHeight="1">
      <c r="A194" s="55" t="s">
        <v>488</v>
      </c>
      <c r="B194" s="22" t="s">
        <v>383</v>
      </c>
      <c r="C194" s="24" t="s">
        <v>476</v>
      </c>
      <c r="D194" s="24" t="s">
        <v>65</v>
      </c>
      <c r="E194" s="184">
        <v>5087774</v>
      </c>
      <c r="F194" s="117">
        <v>1461419</v>
      </c>
      <c r="G194" s="117"/>
      <c r="H194" s="118" t="s">
        <v>53</v>
      </c>
      <c r="I194" s="119">
        <v>2907494</v>
      </c>
      <c r="J194" s="117">
        <v>5409199</v>
      </c>
      <c r="K194" s="120">
        <v>0</v>
      </c>
      <c r="L194" s="117">
        <f t="shared" si="54"/>
        <v>0</v>
      </c>
      <c r="M194" s="120">
        <v>0</v>
      </c>
      <c r="N194" s="117">
        <f t="shared" si="55"/>
        <v>0</v>
      </c>
      <c r="O194" s="120">
        <v>0</v>
      </c>
      <c r="P194" s="117">
        <f t="shared" si="45"/>
        <v>0</v>
      </c>
      <c r="Q194" s="120">
        <v>1</v>
      </c>
      <c r="R194" s="117">
        <f t="shared" si="46"/>
        <v>2907494</v>
      </c>
      <c r="S194" s="120">
        <f t="shared" si="47"/>
        <v>1</v>
      </c>
      <c r="T194" s="120">
        <v>1</v>
      </c>
      <c r="U194" s="117">
        <v>7300000</v>
      </c>
      <c r="V194" s="121">
        <v>52218</v>
      </c>
      <c r="W194" s="51" t="s">
        <v>67</v>
      </c>
      <c r="X194" s="121">
        <v>53292</v>
      </c>
      <c r="Y194" s="72"/>
      <c r="Z194" s="122">
        <v>2045</v>
      </c>
      <c r="AA194" s="117">
        <v>0</v>
      </c>
      <c r="AB194" s="117">
        <v>0</v>
      </c>
      <c r="AC194" s="51" t="s">
        <v>438</v>
      </c>
      <c r="AD194" s="34">
        <v>0</v>
      </c>
      <c r="AE194" s="123">
        <f t="shared" si="57"/>
        <v>0</v>
      </c>
      <c r="AF194" s="34">
        <v>0</v>
      </c>
      <c r="AG194" s="33">
        <f t="shared" si="52"/>
        <v>0</v>
      </c>
      <c r="AH194" s="124">
        <v>0</v>
      </c>
      <c r="AI194" s="117">
        <f t="shared" si="53"/>
        <v>0</v>
      </c>
      <c r="AJ194" s="118"/>
      <c r="AK194" s="51">
        <f t="shared" si="56"/>
        <v>0</v>
      </c>
      <c r="AL194" s="34">
        <v>0</v>
      </c>
      <c r="AM194" s="125">
        <f t="shared" si="58"/>
        <v>0</v>
      </c>
      <c r="AN194" s="83"/>
      <c r="AO194" s="83"/>
      <c r="AP194" s="67"/>
      <c r="AQ194" s="67"/>
      <c r="AR194" s="67"/>
      <c r="AS194" s="67"/>
      <c r="AT194" s="67"/>
      <c r="AU194" s="67"/>
      <c r="AV194" s="15"/>
      <c r="AW194" s="49"/>
      <c r="AX194" s="49"/>
      <c r="AY194" s="11"/>
      <c r="AZ194" s="11"/>
      <c r="BA194" s="11"/>
      <c r="BB194" s="11"/>
      <c r="BC194" s="11"/>
      <c r="BD194" s="11"/>
    </row>
    <row r="195" spans="1:56" ht="15" customHeight="1">
      <c r="A195" s="55" t="s">
        <v>488</v>
      </c>
      <c r="B195" s="22" t="s">
        <v>383</v>
      </c>
      <c r="C195" s="24" t="s">
        <v>476</v>
      </c>
      <c r="D195" s="24" t="s">
        <v>66</v>
      </c>
      <c r="E195" s="177">
        <v>5087774</v>
      </c>
      <c r="F195" s="33">
        <v>1461419</v>
      </c>
      <c r="G195" s="33"/>
      <c r="H195" s="24" t="s">
        <v>37</v>
      </c>
      <c r="I195" s="75">
        <v>5014988</v>
      </c>
      <c r="J195" s="33">
        <v>4088341</v>
      </c>
      <c r="K195" s="34">
        <v>0</v>
      </c>
      <c r="L195" s="33">
        <f t="shared" si="54"/>
        <v>0</v>
      </c>
      <c r="M195" s="34">
        <v>0</v>
      </c>
      <c r="N195" s="33">
        <f t="shared" si="55"/>
        <v>0</v>
      </c>
      <c r="O195" s="34">
        <v>0</v>
      </c>
      <c r="P195" s="33">
        <f t="shared" ref="P195:P256" si="59">I195*O195</f>
        <v>0</v>
      </c>
      <c r="Q195" s="34">
        <v>1</v>
      </c>
      <c r="R195" s="33">
        <f t="shared" ref="R195:R256" si="60">I195*Q195</f>
        <v>5014988</v>
      </c>
      <c r="S195" s="34">
        <f t="shared" ref="S195:S256" si="61">SUM(K195,M195,O195,Q195)</f>
        <v>1</v>
      </c>
      <c r="T195" s="34">
        <v>0</v>
      </c>
      <c r="U195" s="33">
        <v>7300000</v>
      </c>
      <c r="V195" s="35">
        <v>52218</v>
      </c>
      <c r="W195" s="54" t="s">
        <v>67</v>
      </c>
      <c r="X195" s="35">
        <v>53292</v>
      </c>
      <c r="Y195" s="72"/>
      <c r="Z195" s="57">
        <v>2045</v>
      </c>
      <c r="AA195" s="33">
        <v>0</v>
      </c>
      <c r="AB195" s="33">
        <v>0</v>
      </c>
      <c r="AC195" s="54" t="s">
        <v>438</v>
      </c>
      <c r="AD195" s="34">
        <v>0</v>
      </c>
      <c r="AE195" s="62">
        <f t="shared" si="57"/>
        <v>0</v>
      </c>
      <c r="AF195" s="34">
        <v>0</v>
      </c>
      <c r="AG195" s="33">
        <f t="shared" si="52"/>
        <v>0</v>
      </c>
      <c r="AH195" s="58">
        <v>0</v>
      </c>
      <c r="AI195" s="33">
        <f t="shared" si="53"/>
        <v>0</v>
      </c>
      <c r="AJ195" s="24"/>
      <c r="AK195" s="54">
        <f t="shared" si="56"/>
        <v>0</v>
      </c>
      <c r="AL195" s="34">
        <v>0</v>
      </c>
      <c r="AM195" s="59">
        <f t="shared" si="58"/>
        <v>0</v>
      </c>
      <c r="AN195" s="60"/>
      <c r="AO195" s="60"/>
      <c r="AP195" s="60"/>
      <c r="AQ195" s="60"/>
      <c r="AR195" s="60"/>
      <c r="AS195" s="60"/>
      <c r="AT195" s="60"/>
      <c r="AU195" s="60"/>
      <c r="AV195" s="49"/>
      <c r="AW195" s="49"/>
      <c r="AX195" s="49"/>
    </row>
    <row r="196" spans="1:56" s="3" customFormat="1" ht="15" customHeight="1">
      <c r="A196" s="55" t="s">
        <v>64</v>
      </c>
      <c r="B196" s="22" t="s">
        <v>383</v>
      </c>
      <c r="C196" s="24" t="s">
        <v>476</v>
      </c>
      <c r="D196" s="24" t="s">
        <v>44</v>
      </c>
      <c r="E196" s="177">
        <v>5813435</v>
      </c>
      <c r="F196" s="33">
        <v>1810771</v>
      </c>
      <c r="G196" s="65" t="s">
        <v>318</v>
      </c>
      <c r="H196" s="34" t="s">
        <v>53</v>
      </c>
      <c r="I196" s="33">
        <v>11500</v>
      </c>
      <c r="J196" s="33">
        <v>11500</v>
      </c>
      <c r="K196" s="34"/>
      <c r="L196" s="33">
        <f t="shared" si="54"/>
        <v>0</v>
      </c>
      <c r="M196" s="34">
        <v>1</v>
      </c>
      <c r="N196" s="33">
        <f t="shared" si="55"/>
        <v>11500</v>
      </c>
      <c r="O196" s="34"/>
      <c r="P196" s="33">
        <f t="shared" si="59"/>
        <v>0</v>
      </c>
      <c r="Q196" s="34"/>
      <c r="R196" s="33">
        <f t="shared" si="60"/>
        <v>0</v>
      </c>
      <c r="S196" s="34">
        <f t="shared" si="61"/>
        <v>1</v>
      </c>
      <c r="T196" s="34">
        <v>0</v>
      </c>
      <c r="U196" s="33">
        <v>18250</v>
      </c>
      <c r="V196" s="76"/>
      <c r="W196" s="54"/>
      <c r="X196" s="24" t="s">
        <v>59</v>
      </c>
      <c r="Y196" s="22"/>
      <c r="Z196" s="57">
        <v>2021</v>
      </c>
      <c r="AA196" s="33">
        <v>0</v>
      </c>
      <c r="AB196" s="33"/>
      <c r="AC196" s="78"/>
      <c r="AD196" s="34"/>
      <c r="AE196" s="62">
        <f t="shared" si="57"/>
        <v>0</v>
      </c>
      <c r="AF196" s="34"/>
      <c r="AG196" s="33">
        <f t="shared" si="52"/>
        <v>0</v>
      </c>
      <c r="AH196" s="58"/>
      <c r="AI196" s="33">
        <f t="shared" si="53"/>
        <v>0</v>
      </c>
      <c r="AJ196" s="74">
        <v>1</v>
      </c>
      <c r="AK196" s="54">
        <f t="shared" si="56"/>
        <v>0</v>
      </c>
      <c r="AL196" s="34"/>
      <c r="AM196" s="59">
        <f t="shared" si="58"/>
        <v>0</v>
      </c>
      <c r="AN196" s="60"/>
      <c r="AO196" s="60"/>
      <c r="AP196" s="60"/>
      <c r="AQ196" s="60"/>
      <c r="AR196" s="22"/>
      <c r="AS196" s="60"/>
      <c r="AT196" s="60"/>
      <c r="AU196" s="60"/>
      <c r="AV196" s="49"/>
      <c r="AW196" s="49"/>
      <c r="AX196" s="49"/>
      <c r="AY196" s="11"/>
      <c r="AZ196" s="11"/>
      <c r="BA196" s="11"/>
      <c r="BB196" s="11"/>
      <c r="BC196" s="11"/>
      <c r="BD196" s="11"/>
    </row>
    <row r="197" spans="1:56" s="3" customFormat="1" ht="15" customHeight="1">
      <c r="A197" s="55" t="s">
        <v>64</v>
      </c>
      <c r="B197" s="22" t="s">
        <v>383</v>
      </c>
      <c r="C197" s="24" t="s">
        <v>476</v>
      </c>
      <c r="D197" s="24" t="s">
        <v>45</v>
      </c>
      <c r="E197" s="177">
        <v>5813357.5999999996</v>
      </c>
      <c r="F197" s="33">
        <v>1762816.4</v>
      </c>
      <c r="G197" s="65" t="s">
        <v>318</v>
      </c>
      <c r="H197" s="34" t="s">
        <v>37</v>
      </c>
      <c r="I197" s="33">
        <v>410000</v>
      </c>
      <c r="J197" s="33">
        <v>410000</v>
      </c>
      <c r="K197" s="34"/>
      <c r="L197" s="33">
        <f t="shared" si="54"/>
        <v>0</v>
      </c>
      <c r="M197" s="34"/>
      <c r="N197" s="33">
        <f t="shared" si="55"/>
        <v>0</v>
      </c>
      <c r="O197" s="34">
        <v>1</v>
      </c>
      <c r="P197" s="33">
        <f t="shared" si="59"/>
        <v>410000</v>
      </c>
      <c r="Q197" s="34"/>
      <c r="R197" s="33">
        <f t="shared" si="60"/>
        <v>0</v>
      </c>
      <c r="S197" s="34">
        <f t="shared" si="61"/>
        <v>1</v>
      </c>
      <c r="T197" s="34">
        <v>0</v>
      </c>
      <c r="U197" s="33">
        <v>3285000</v>
      </c>
      <c r="V197" s="76" t="s">
        <v>55</v>
      </c>
      <c r="W197" s="54"/>
      <c r="X197" s="24" t="s">
        <v>55</v>
      </c>
      <c r="Y197" s="22"/>
      <c r="Z197" s="57">
        <v>2020</v>
      </c>
      <c r="AA197" s="33">
        <v>0</v>
      </c>
      <c r="AB197" s="33"/>
      <c r="AC197" s="78"/>
      <c r="AD197" s="34"/>
      <c r="AE197" s="62">
        <f t="shared" si="57"/>
        <v>0</v>
      </c>
      <c r="AF197" s="34">
        <v>1</v>
      </c>
      <c r="AG197" s="33">
        <f t="shared" si="52"/>
        <v>0</v>
      </c>
      <c r="AH197" s="58">
        <v>1</v>
      </c>
      <c r="AI197" s="33">
        <f t="shared" si="53"/>
        <v>0</v>
      </c>
      <c r="AJ197" s="24"/>
      <c r="AK197" s="54">
        <f t="shared" si="56"/>
        <v>0</v>
      </c>
      <c r="AL197" s="34"/>
      <c r="AM197" s="59">
        <f t="shared" si="58"/>
        <v>0</v>
      </c>
      <c r="AN197" s="60"/>
      <c r="AO197" s="60"/>
      <c r="AP197" s="60"/>
      <c r="AQ197" s="60"/>
      <c r="AR197" s="22"/>
      <c r="AS197" s="60"/>
      <c r="AT197" s="60"/>
      <c r="AU197" s="60"/>
      <c r="AV197" s="49"/>
      <c r="AW197" s="49"/>
      <c r="AX197" s="49"/>
      <c r="AY197" s="11"/>
      <c r="AZ197" s="11"/>
      <c r="BA197" s="11"/>
      <c r="BB197" s="11"/>
      <c r="BC197" s="11"/>
      <c r="BD197" s="11"/>
    </row>
    <row r="198" spans="1:56" s="85" customFormat="1" ht="15" customHeight="1">
      <c r="A198" s="55" t="s">
        <v>64</v>
      </c>
      <c r="B198" s="22" t="s">
        <v>383</v>
      </c>
      <c r="C198" s="24" t="s">
        <v>474</v>
      </c>
      <c r="D198" s="24" t="s">
        <v>46</v>
      </c>
      <c r="E198" s="177">
        <v>5815151.3030000003</v>
      </c>
      <c r="F198" s="33">
        <v>1817503.402</v>
      </c>
      <c r="G198" s="33" t="s">
        <v>392</v>
      </c>
      <c r="H198" s="34" t="s">
        <v>53</v>
      </c>
      <c r="I198" s="33"/>
      <c r="J198" s="33">
        <v>9200</v>
      </c>
      <c r="K198" s="34"/>
      <c r="L198" s="33">
        <f t="shared" si="54"/>
        <v>0</v>
      </c>
      <c r="M198" s="34">
        <v>1</v>
      </c>
      <c r="N198" s="33">
        <f t="shared" si="55"/>
        <v>0</v>
      </c>
      <c r="O198" s="34"/>
      <c r="P198" s="33">
        <f t="shared" si="59"/>
        <v>0</v>
      </c>
      <c r="Q198" s="34"/>
      <c r="R198" s="33">
        <f t="shared" si="60"/>
        <v>0</v>
      </c>
      <c r="S198" s="34">
        <f t="shared" si="61"/>
        <v>1</v>
      </c>
      <c r="T198" s="34"/>
      <c r="U198" s="33">
        <v>22995</v>
      </c>
      <c r="V198" s="76"/>
      <c r="W198" s="54"/>
      <c r="X198" s="24" t="s">
        <v>60</v>
      </c>
      <c r="Y198" s="22"/>
      <c r="Z198" s="57">
        <v>2035</v>
      </c>
      <c r="AA198" s="33"/>
      <c r="AB198" s="33"/>
      <c r="AC198" s="78"/>
      <c r="AD198" s="34"/>
      <c r="AE198" s="62">
        <f t="shared" si="57"/>
        <v>0</v>
      </c>
      <c r="AF198" s="34"/>
      <c r="AG198" s="33">
        <f t="shared" si="52"/>
        <v>0</v>
      </c>
      <c r="AH198" s="58"/>
      <c r="AI198" s="33">
        <f t="shared" si="53"/>
        <v>0</v>
      </c>
      <c r="AJ198" s="74">
        <v>1</v>
      </c>
      <c r="AK198" s="54">
        <f t="shared" si="56"/>
        <v>0</v>
      </c>
      <c r="AL198" s="34">
        <v>1</v>
      </c>
      <c r="AM198" s="59">
        <f t="shared" si="58"/>
        <v>0</v>
      </c>
      <c r="AN198" s="60" t="s">
        <v>439</v>
      </c>
      <c r="AO198" s="60"/>
      <c r="AP198" s="60"/>
      <c r="AQ198" s="60"/>
      <c r="AR198" s="64" t="s">
        <v>63</v>
      </c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</row>
    <row r="199" spans="1:56" s="3" customFormat="1" ht="15" customHeight="1">
      <c r="A199" s="55" t="s">
        <v>64</v>
      </c>
      <c r="B199" s="22" t="s">
        <v>383</v>
      </c>
      <c r="C199" s="24" t="s">
        <v>476</v>
      </c>
      <c r="D199" s="24" t="s">
        <v>47</v>
      </c>
      <c r="E199" s="177">
        <v>5857748.4000000004</v>
      </c>
      <c r="F199" s="33">
        <v>1790729.9</v>
      </c>
      <c r="G199" s="65" t="s">
        <v>318</v>
      </c>
      <c r="H199" s="34" t="s">
        <v>54</v>
      </c>
      <c r="I199" s="33">
        <v>275000</v>
      </c>
      <c r="J199" s="33">
        <v>275000</v>
      </c>
      <c r="K199" s="34">
        <v>1</v>
      </c>
      <c r="L199" s="33">
        <f t="shared" si="54"/>
        <v>275000</v>
      </c>
      <c r="M199" s="34"/>
      <c r="N199" s="33">
        <f t="shared" si="55"/>
        <v>0</v>
      </c>
      <c r="O199" s="34"/>
      <c r="P199" s="33">
        <f t="shared" si="59"/>
        <v>0</v>
      </c>
      <c r="Q199" s="34"/>
      <c r="R199" s="33">
        <f t="shared" si="60"/>
        <v>0</v>
      </c>
      <c r="S199" s="34">
        <f t="shared" si="61"/>
        <v>1</v>
      </c>
      <c r="T199" s="34">
        <v>0</v>
      </c>
      <c r="U199" s="33">
        <v>558450</v>
      </c>
      <c r="V199" s="76" t="s">
        <v>56</v>
      </c>
      <c r="W199" s="54"/>
      <c r="X199" s="24" t="s">
        <v>56</v>
      </c>
      <c r="Y199" s="22"/>
      <c r="Z199" s="57">
        <v>2023</v>
      </c>
      <c r="AA199" s="33">
        <v>0</v>
      </c>
      <c r="AB199" s="33"/>
      <c r="AC199" s="78"/>
      <c r="AD199" s="34"/>
      <c r="AE199" s="62">
        <f t="shared" si="57"/>
        <v>0</v>
      </c>
      <c r="AF199" s="34">
        <v>1</v>
      </c>
      <c r="AG199" s="33">
        <f t="shared" si="52"/>
        <v>0</v>
      </c>
      <c r="AH199" s="58">
        <v>1</v>
      </c>
      <c r="AI199" s="33">
        <f t="shared" si="53"/>
        <v>0</v>
      </c>
      <c r="AJ199" s="24"/>
      <c r="AK199" s="54">
        <f t="shared" si="56"/>
        <v>0</v>
      </c>
      <c r="AL199" s="34"/>
      <c r="AM199" s="59">
        <f t="shared" si="58"/>
        <v>0</v>
      </c>
      <c r="AN199" s="61"/>
      <c r="AO199" s="61"/>
      <c r="AP199" s="61"/>
      <c r="AQ199" s="60"/>
      <c r="AR199" s="22"/>
      <c r="AS199" s="60"/>
      <c r="AT199" s="60"/>
      <c r="AU199" s="60"/>
      <c r="AV199" s="49"/>
      <c r="AW199" s="49"/>
      <c r="AX199" s="49"/>
      <c r="AY199" s="11"/>
      <c r="AZ199" s="11"/>
      <c r="BA199" s="11"/>
      <c r="BB199" s="11"/>
      <c r="BC199" s="11"/>
      <c r="BD199" s="11"/>
    </row>
    <row r="200" spans="1:56" s="3" customFormat="1" ht="15" customHeight="1">
      <c r="A200" s="55" t="s">
        <v>64</v>
      </c>
      <c r="B200" s="22" t="s">
        <v>383</v>
      </c>
      <c r="C200" s="24" t="s">
        <v>476</v>
      </c>
      <c r="D200" s="24" t="s">
        <v>48</v>
      </c>
      <c r="E200" s="177">
        <v>5820652.3899999997</v>
      </c>
      <c r="F200" s="33">
        <v>1789569.53</v>
      </c>
      <c r="G200" s="65" t="s">
        <v>318</v>
      </c>
      <c r="H200" s="24" t="s">
        <v>53</v>
      </c>
      <c r="I200" s="24">
        <v>1300</v>
      </c>
      <c r="J200" s="33">
        <v>1300</v>
      </c>
      <c r="K200" s="34">
        <v>1</v>
      </c>
      <c r="L200" s="33">
        <f t="shared" si="54"/>
        <v>1300</v>
      </c>
      <c r="M200" s="34"/>
      <c r="N200" s="33">
        <f t="shared" si="55"/>
        <v>0</v>
      </c>
      <c r="O200" s="34"/>
      <c r="P200" s="33">
        <f t="shared" si="59"/>
        <v>0</v>
      </c>
      <c r="Q200" s="34"/>
      <c r="R200" s="33">
        <f t="shared" si="60"/>
        <v>0</v>
      </c>
      <c r="S200" s="34">
        <f t="shared" si="61"/>
        <v>1</v>
      </c>
      <c r="T200" s="34">
        <v>0</v>
      </c>
      <c r="U200" s="33">
        <v>4380</v>
      </c>
      <c r="V200" s="24"/>
      <c r="W200" s="54"/>
      <c r="X200" s="24" t="s">
        <v>61</v>
      </c>
      <c r="Y200" s="22"/>
      <c r="Z200" s="57">
        <v>2018</v>
      </c>
      <c r="AA200" s="33">
        <v>0</v>
      </c>
      <c r="AB200" s="33"/>
      <c r="AC200" s="54"/>
      <c r="AD200" s="34"/>
      <c r="AE200" s="62">
        <f t="shared" si="57"/>
        <v>0</v>
      </c>
      <c r="AF200" s="34"/>
      <c r="AG200" s="33">
        <f t="shared" si="52"/>
        <v>0</v>
      </c>
      <c r="AH200" s="58"/>
      <c r="AI200" s="33">
        <f t="shared" si="53"/>
        <v>0</v>
      </c>
      <c r="AJ200" s="74">
        <v>1</v>
      </c>
      <c r="AK200" s="54">
        <f t="shared" si="56"/>
        <v>0</v>
      </c>
      <c r="AL200" s="34"/>
      <c r="AM200" s="59">
        <f t="shared" si="58"/>
        <v>0</v>
      </c>
      <c r="AN200" s="67"/>
      <c r="AO200" s="67"/>
      <c r="AP200" s="67"/>
      <c r="AQ200" s="60"/>
      <c r="AR200" s="60"/>
      <c r="AS200" s="60"/>
      <c r="AT200" s="60"/>
      <c r="AU200" s="60"/>
      <c r="AV200" s="49"/>
      <c r="AW200" s="49"/>
      <c r="AX200" s="49"/>
      <c r="AY200" s="11"/>
      <c r="AZ200" s="11"/>
      <c r="BA200" s="11"/>
      <c r="BB200" s="11"/>
      <c r="BC200" s="11"/>
      <c r="BD200" s="11"/>
    </row>
    <row r="201" spans="1:56" s="3" customFormat="1" ht="15" customHeight="1">
      <c r="A201" s="55" t="s">
        <v>64</v>
      </c>
      <c r="B201" s="22" t="s">
        <v>383</v>
      </c>
      <c r="C201" s="24" t="s">
        <v>476</v>
      </c>
      <c r="D201" s="24" t="s">
        <v>49</v>
      </c>
      <c r="E201" s="177">
        <v>5843633.5</v>
      </c>
      <c r="F201" s="33">
        <v>1792269.5</v>
      </c>
      <c r="G201" s="65" t="s">
        <v>318</v>
      </c>
      <c r="H201" s="24" t="s">
        <v>54</v>
      </c>
      <c r="I201" s="24">
        <v>835000</v>
      </c>
      <c r="J201" s="33">
        <v>835000</v>
      </c>
      <c r="K201" s="34">
        <v>1</v>
      </c>
      <c r="L201" s="33">
        <f t="shared" si="54"/>
        <v>835000</v>
      </c>
      <c r="M201" s="34"/>
      <c r="N201" s="33">
        <f t="shared" si="55"/>
        <v>0</v>
      </c>
      <c r="O201" s="34"/>
      <c r="P201" s="33">
        <f t="shared" si="59"/>
        <v>0</v>
      </c>
      <c r="Q201" s="34"/>
      <c r="R201" s="33">
        <f t="shared" si="60"/>
        <v>0</v>
      </c>
      <c r="S201" s="34">
        <f t="shared" si="61"/>
        <v>1</v>
      </c>
      <c r="T201" s="34">
        <v>0</v>
      </c>
      <c r="U201" s="33">
        <v>2500000</v>
      </c>
      <c r="V201" s="24" t="s">
        <v>57</v>
      </c>
      <c r="W201" s="54"/>
      <c r="X201" s="24" t="s">
        <v>57</v>
      </c>
      <c r="Y201" s="22"/>
      <c r="Z201" s="57">
        <v>2029</v>
      </c>
      <c r="AA201" s="33">
        <v>0</v>
      </c>
      <c r="AB201" s="33"/>
      <c r="AC201" s="54"/>
      <c r="AD201" s="34"/>
      <c r="AE201" s="62">
        <f t="shared" si="57"/>
        <v>0</v>
      </c>
      <c r="AF201" s="34">
        <v>1</v>
      </c>
      <c r="AG201" s="33">
        <f t="shared" si="52"/>
        <v>0</v>
      </c>
      <c r="AH201" s="58">
        <v>1</v>
      </c>
      <c r="AI201" s="33">
        <f t="shared" si="53"/>
        <v>0</v>
      </c>
      <c r="AJ201" s="24"/>
      <c r="AK201" s="54">
        <f t="shared" si="56"/>
        <v>0</v>
      </c>
      <c r="AL201" s="34"/>
      <c r="AM201" s="59">
        <f t="shared" si="58"/>
        <v>0</v>
      </c>
      <c r="AN201" s="67"/>
      <c r="AO201" s="67"/>
      <c r="AP201" s="67"/>
      <c r="AQ201" s="60"/>
      <c r="AR201" s="60"/>
      <c r="AS201" s="60"/>
      <c r="AT201" s="60"/>
      <c r="AU201" s="60"/>
      <c r="AV201" s="49"/>
      <c r="AW201" s="49"/>
      <c r="AX201" s="49"/>
      <c r="AY201" s="11"/>
      <c r="AZ201" s="11"/>
      <c r="BA201" s="11"/>
      <c r="BB201" s="11"/>
      <c r="BC201" s="11"/>
      <c r="BD201" s="11"/>
    </row>
    <row r="202" spans="1:56" s="3" customFormat="1" ht="15" customHeight="1">
      <c r="A202" s="55" t="s">
        <v>64</v>
      </c>
      <c r="B202" s="22" t="s">
        <v>383</v>
      </c>
      <c r="C202" s="24" t="s">
        <v>476</v>
      </c>
      <c r="D202" s="24" t="s">
        <v>50</v>
      </c>
      <c r="E202" s="177">
        <v>5875481.5300000003</v>
      </c>
      <c r="F202" s="33">
        <v>1795428.33</v>
      </c>
      <c r="G202" s="65" t="s">
        <v>318</v>
      </c>
      <c r="H202" s="24" t="s">
        <v>53</v>
      </c>
      <c r="I202" s="24">
        <v>1300</v>
      </c>
      <c r="J202" s="33">
        <v>1300</v>
      </c>
      <c r="K202" s="34"/>
      <c r="L202" s="33">
        <f t="shared" si="54"/>
        <v>0</v>
      </c>
      <c r="M202" s="34">
        <v>1</v>
      </c>
      <c r="N202" s="33">
        <f t="shared" si="55"/>
        <v>1300</v>
      </c>
      <c r="O202" s="34"/>
      <c r="P202" s="33">
        <f t="shared" si="59"/>
        <v>0</v>
      </c>
      <c r="Q202" s="34"/>
      <c r="R202" s="33">
        <f t="shared" si="60"/>
        <v>0</v>
      </c>
      <c r="S202" s="34">
        <f t="shared" si="61"/>
        <v>1</v>
      </c>
      <c r="T202" s="34">
        <v>0</v>
      </c>
      <c r="U202" s="33" t="s">
        <v>0</v>
      </c>
      <c r="V202" s="24"/>
      <c r="W202" s="54"/>
      <c r="X202" s="24" t="s">
        <v>62</v>
      </c>
      <c r="Y202" s="22"/>
      <c r="Z202" s="57">
        <v>2039</v>
      </c>
      <c r="AA202" s="33">
        <v>0</v>
      </c>
      <c r="AB202" s="33"/>
      <c r="AC202" s="54"/>
      <c r="AD202" s="34"/>
      <c r="AE202" s="62">
        <f t="shared" si="57"/>
        <v>0</v>
      </c>
      <c r="AF202" s="34"/>
      <c r="AG202" s="33">
        <f t="shared" si="52"/>
        <v>0</v>
      </c>
      <c r="AH202" s="58"/>
      <c r="AI202" s="33">
        <f t="shared" si="53"/>
        <v>0</v>
      </c>
      <c r="AJ202" s="74">
        <v>1</v>
      </c>
      <c r="AK202" s="54">
        <f t="shared" si="56"/>
        <v>0</v>
      </c>
      <c r="AL202" s="34"/>
      <c r="AM202" s="59">
        <f t="shared" si="58"/>
        <v>0</v>
      </c>
      <c r="AN202" s="67"/>
      <c r="AO202" s="67"/>
      <c r="AP202" s="67"/>
      <c r="AQ202" s="67"/>
      <c r="AR202" s="67"/>
      <c r="AS202" s="67"/>
      <c r="AT202" s="67"/>
      <c r="AU202" s="67"/>
      <c r="AV202" s="15"/>
      <c r="AW202" s="49"/>
      <c r="AX202" s="49"/>
      <c r="AY202" s="11"/>
      <c r="AZ202" s="11"/>
      <c r="BA202" s="11"/>
      <c r="BB202" s="11"/>
      <c r="BC202" s="11"/>
      <c r="BD202" s="11"/>
    </row>
    <row r="203" spans="1:56" s="2" customFormat="1" ht="15" customHeight="1">
      <c r="A203" s="55" t="s">
        <v>64</v>
      </c>
      <c r="B203" s="22" t="s">
        <v>383</v>
      </c>
      <c r="C203" s="24" t="s">
        <v>476</v>
      </c>
      <c r="D203" s="24" t="s">
        <v>51</v>
      </c>
      <c r="E203" s="177">
        <v>5868428.4000000004</v>
      </c>
      <c r="F203" s="33">
        <v>1783745.3</v>
      </c>
      <c r="G203" s="65" t="s">
        <v>318</v>
      </c>
      <c r="H203" s="24" t="s">
        <v>54</v>
      </c>
      <c r="I203" s="24">
        <v>85000</v>
      </c>
      <c r="J203" s="33">
        <v>85000</v>
      </c>
      <c r="K203" s="34">
        <v>1</v>
      </c>
      <c r="L203" s="33">
        <f t="shared" si="54"/>
        <v>85000</v>
      </c>
      <c r="M203" s="34"/>
      <c r="N203" s="33">
        <f t="shared" si="55"/>
        <v>0</v>
      </c>
      <c r="O203" s="34"/>
      <c r="P203" s="33">
        <f t="shared" si="59"/>
        <v>0</v>
      </c>
      <c r="Q203" s="34"/>
      <c r="R203" s="33">
        <f t="shared" si="60"/>
        <v>0</v>
      </c>
      <c r="S203" s="34">
        <f t="shared" si="61"/>
        <v>1</v>
      </c>
      <c r="T203" s="34">
        <v>0</v>
      </c>
      <c r="U203" s="33">
        <v>205000</v>
      </c>
      <c r="V203" s="24" t="s">
        <v>58</v>
      </c>
      <c r="W203" s="54"/>
      <c r="X203" s="24" t="s">
        <v>58</v>
      </c>
      <c r="Y203" s="22"/>
      <c r="Z203" s="57">
        <v>2018</v>
      </c>
      <c r="AA203" s="33">
        <v>0</v>
      </c>
      <c r="AB203" s="33"/>
      <c r="AC203" s="54"/>
      <c r="AD203" s="34"/>
      <c r="AE203" s="62">
        <f t="shared" si="57"/>
        <v>0</v>
      </c>
      <c r="AF203" s="34">
        <v>1</v>
      </c>
      <c r="AG203" s="33">
        <f t="shared" si="52"/>
        <v>0</v>
      </c>
      <c r="AH203" s="58">
        <v>1</v>
      </c>
      <c r="AI203" s="33">
        <f t="shared" si="53"/>
        <v>0</v>
      </c>
      <c r="AJ203" s="24"/>
      <c r="AK203" s="54">
        <f t="shared" si="56"/>
        <v>0</v>
      </c>
      <c r="AL203" s="34"/>
      <c r="AM203" s="59">
        <f t="shared" si="58"/>
        <v>0</v>
      </c>
      <c r="AN203" s="60"/>
      <c r="AO203" s="67"/>
      <c r="AP203" s="67"/>
      <c r="AQ203" s="67"/>
      <c r="AR203" s="67"/>
      <c r="AS203" s="67"/>
      <c r="AT203" s="67"/>
      <c r="AU203" s="67"/>
      <c r="AV203" s="15"/>
      <c r="AW203" s="49"/>
      <c r="AX203" s="49"/>
      <c r="AY203" s="11"/>
      <c r="AZ203" s="11"/>
      <c r="BA203" s="11"/>
      <c r="BB203" s="11"/>
      <c r="BC203" s="11"/>
      <c r="BD203" s="11"/>
    </row>
    <row r="204" spans="1:56" s="2" customFormat="1" ht="15" customHeight="1">
      <c r="A204" s="55" t="s">
        <v>64</v>
      </c>
      <c r="B204" s="22" t="s">
        <v>383</v>
      </c>
      <c r="C204" s="24" t="s">
        <v>476</v>
      </c>
      <c r="D204" s="24" t="s">
        <v>52</v>
      </c>
      <c r="E204" s="177">
        <v>5831440.4000000004</v>
      </c>
      <c r="F204" s="33">
        <v>1790569.7</v>
      </c>
      <c r="G204" s="65" t="s">
        <v>318</v>
      </c>
      <c r="H204" s="24" t="s">
        <v>37</v>
      </c>
      <c r="I204" s="24">
        <v>450000</v>
      </c>
      <c r="J204" s="33">
        <v>450000</v>
      </c>
      <c r="K204" s="34">
        <v>1</v>
      </c>
      <c r="L204" s="33">
        <f t="shared" si="54"/>
        <v>450000</v>
      </c>
      <c r="M204" s="34"/>
      <c r="N204" s="33">
        <f t="shared" si="55"/>
        <v>0</v>
      </c>
      <c r="O204" s="34"/>
      <c r="P204" s="33">
        <f t="shared" si="59"/>
        <v>0</v>
      </c>
      <c r="Q204" s="34"/>
      <c r="R204" s="33">
        <f t="shared" si="60"/>
        <v>0</v>
      </c>
      <c r="S204" s="34">
        <f t="shared" si="61"/>
        <v>1</v>
      </c>
      <c r="T204" s="34"/>
      <c r="U204" s="33">
        <v>1752000</v>
      </c>
      <c r="V204" s="24" t="s">
        <v>57</v>
      </c>
      <c r="W204" s="54"/>
      <c r="X204" s="24" t="s">
        <v>57</v>
      </c>
      <c r="Y204" s="22"/>
      <c r="Z204" s="57">
        <v>2029</v>
      </c>
      <c r="AA204" s="33">
        <v>0</v>
      </c>
      <c r="AB204" s="33"/>
      <c r="AC204" s="54"/>
      <c r="AD204" s="34"/>
      <c r="AE204" s="62">
        <f t="shared" si="57"/>
        <v>0</v>
      </c>
      <c r="AF204" s="34">
        <v>1</v>
      </c>
      <c r="AG204" s="33">
        <f t="shared" si="52"/>
        <v>0</v>
      </c>
      <c r="AH204" s="58">
        <v>1</v>
      </c>
      <c r="AI204" s="33">
        <f t="shared" si="53"/>
        <v>0</v>
      </c>
      <c r="AJ204" s="24"/>
      <c r="AK204" s="54">
        <f t="shared" si="56"/>
        <v>0</v>
      </c>
      <c r="AL204" s="34"/>
      <c r="AM204" s="59">
        <f t="shared" si="58"/>
        <v>0</v>
      </c>
      <c r="AN204" s="67"/>
      <c r="AO204" s="60"/>
      <c r="AP204" s="67"/>
      <c r="AQ204" s="67"/>
      <c r="AR204" s="67"/>
      <c r="AS204" s="67"/>
      <c r="AT204" s="67"/>
      <c r="AU204" s="67"/>
      <c r="AV204" s="15"/>
      <c r="AW204" s="49"/>
      <c r="AX204" s="49"/>
      <c r="AY204" s="11"/>
      <c r="AZ204" s="11"/>
      <c r="BA204" s="11"/>
      <c r="BB204" s="11"/>
      <c r="BC204" s="11"/>
      <c r="BD204" s="11"/>
    </row>
    <row r="205" spans="1:56" s="2" customFormat="1" ht="15" customHeight="1">
      <c r="A205" s="53" t="s">
        <v>489</v>
      </c>
      <c r="B205" s="22" t="s">
        <v>383</v>
      </c>
      <c r="C205" s="24" t="s">
        <v>476</v>
      </c>
      <c r="D205" s="34" t="s">
        <v>240</v>
      </c>
      <c r="E205" s="142">
        <v>5203241.5559999999</v>
      </c>
      <c r="F205" s="142">
        <v>1575113.7290000001</v>
      </c>
      <c r="G205" s="33"/>
      <c r="H205" s="34" t="s">
        <v>37</v>
      </c>
      <c r="I205" s="33">
        <v>3971750</v>
      </c>
      <c r="J205" s="33">
        <v>3971750</v>
      </c>
      <c r="K205" s="34"/>
      <c r="L205" s="33">
        <f t="shared" si="54"/>
        <v>0</v>
      </c>
      <c r="M205" s="34"/>
      <c r="N205" s="33">
        <f t="shared" si="55"/>
        <v>0</v>
      </c>
      <c r="O205" s="34"/>
      <c r="P205" s="33">
        <f t="shared" si="59"/>
        <v>0</v>
      </c>
      <c r="Q205" s="34">
        <v>1</v>
      </c>
      <c r="R205" s="33">
        <f t="shared" si="60"/>
        <v>3971750</v>
      </c>
      <c r="S205" s="34">
        <f t="shared" si="61"/>
        <v>1</v>
      </c>
      <c r="T205" s="34">
        <v>0.01</v>
      </c>
      <c r="U205" s="33"/>
      <c r="V205" s="34" t="s">
        <v>244</v>
      </c>
      <c r="W205" s="78" t="s">
        <v>244</v>
      </c>
      <c r="X205" s="57">
        <v>2039</v>
      </c>
      <c r="Y205" s="72"/>
      <c r="Z205" s="57">
        <v>2039</v>
      </c>
      <c r="AA205" s="33">
        <v>500</v>
      </c>
      <c r="AB205" s="33">
        <v>500</v>
      </c>
      <c r="AC205" s="78"/>
      <c r="AD205" s="34">
        <v>1</v>
      </c>
      <c r="AE205" s="62">
        <f t="shared" si="57"/>
        <v>500</v>
      </c>
      <c r="AF205" s="34">
        <v>0</v>
      </c>
      <c r="AG205" s="33">
        <f t="shared" si="52"/>
        <v>0</v>
      </c>
      <c r="AH205" s="58">
        <v>0</v>
      </c>
      <c r="AI205" s="33">
        <f t="shared" si="53"/>
        <v>0</v>
      </c>
      <c r="AJ205" s="24"/>
      <c r="AK205" s="54">
        <f t="shared" si="56"/>
        <v>0</v>
      </c>
      <c r="AL205" s="34">
        <v>0</v>
      </c>
      <c r="AM205" s="59">
        <f t="shared" si="58"/>
        <v>0</v>
      </c>
      <c r="AN205" s="61"/>
      <c r="AO205" s="60"/>
      <c r="AP205" s="60"/>
      <c r="AQ205" s="60"/>
      <c r="AR205" s="60"/>
      <c r="AS205" s="60"/>
      <c r="AT205" s="60"/>
      <c r="AU205" s="60"/>
      <c r="AV205" s="49"/>
      <c r="AW205" s="49"/>
      <c r="AX205" s="49"/>
      <c r="AY205" s="11"/>
      <c r="AZ205" s="11"/>
      <c r="BA205" s="11"/>
      <c r="BB205" s="11"/>
      <c r="BC205" s="11"/>
      <c r="BD205" s="11"/>
    </row>
    <row r="206" spans="1:56" s="2" customFormat="1" ht="15" customHeight="1">
      <c r="A206" s="53" t="s">
        <v>489</v>
      </c>
      <c r="B206" s="22" t="s">
        <v>383</v>
      </c>
      <c r="C206" s="24" t="s">
        <v>476</v>
      </c>
      <c r="D206" s="24" t="s">
        <v>241</v>
      </c>
      <c r="E206" s="176">
        <v>5766751</v>
      </c>
      <c r="F206" s="27">
        <v>2445327</v>
      </c>
      <c r="G206" s="65" t="s">
        <v>408</v>
      </c>
      <c r="H206" s="24" t="s">
        <v>37</v>
      </c>
      <c r="I206" s="33">
        <v>185785</v>
      </c>
      <c r="J206" s="33">
        <v>185785</v>
      </c>
      <c r="K206" s="34"/>
      <c r="L206" s="33">
        <f t="shared" si="54"/>
        <v>0</v>
      </c>
      <c r="M206" s="34">
        <v>1</v>
      </c>
      <c r="N206" s="33">
        <f t="shared" si="55"/>
        <v>185785</v>
      </c>
      <c r="O206" s="34"/>
      <c r="P206" s="33">
        <f t="shared" si="59"/>
        <v>0</v>
      </c>
      <c r="Q206" s="34"/>
      <c r="R206" s="33">
        <f t="shared" si="60"/>
        <v>0</v>
      </c>
      <c r="S206" s="34">
        <f t="shared" si="61"/>
        <v>1</v>
      </c>
      <c r="T206" s="34">
        <v>0</v>
      </c>
      <c r="U206" s="33"/>
      <c r="V206" s="24">
        <v>2031</v>
      </c>
      <c r="W206" s="54" t="s">
        <v>245</v>
      </c>
      <c r="X206" s="24">
        <v>2031</v>
      </c>
      <c r="Y206" s="22"/>
      <c r="Z206" s="24">
        <v>2031</v>
      </c>
      <c r="AA206" s="33">
        <v>36</v>
      </c>
      <c r="AB206" s="33">
        <v>36</v>
      </c>
      <c r="AC206" s="54"/>
      <c r="AD206" s="34">
        <v>0</v>
      </c>
      <c r="AE206" s="62">
        <f t="shared" si="57"/>
        <v>0</v>
      </c>
      <c r="AF206" s="34">
        <v>1</v>
      </c>
      <c r="AG206" s="33">
        <f t="shared" si="52"/>
        <v>36</v>
      </c>
      <c r="AH206" s="58">
        <v>0</v>
      </c>
      <c r="AI206" s="33">
        <f t="shared" si="53"/>
        <v>0</v>
      </c>
      <c r="AJ206" s="24"/>
      <c r="AK206" s="54">
        <f t="shared" si="56"/>
        <v>0</v>
      </c>
      <c r="AL206" s="34">
        <v>0</v>
      </c>
      <c r="AM206" s="59">
        <f t="shared" si="58"/>
        <v>0</v>
      </c>
      <c r="AN206" s="67"/>
      <c r="AO206" s="60"/>
      <c r="AP206" s="60"/>
      <c r="AQ206" s="60"/>
      <c r="AR206" s="60"/>
      <c r="AS206" s="60"/>
      <c r="AT206" s="60"/>
      <c r="AU206" s="60"/>
      <c r="AV206" s="49"/>
      <c r="AW206" s="49"/>
      <c r="AX206" s="49"/>
      <c r="AY206" s="11"/>
      <c r="AZ206" s="11"/>
      <c r="BA206" s="11"/>
      <c r="BB206" s="11"/>
      <c r="BC206" s="11"/>
      <c r="BD206" s="11"/>
    </row>
    <row r="207" spans="1:56" s="2" customFormat="1" ht="15" customHeight="1">
      <c r="A207" s="53" t="s">
        <v>489</v>
      </c>
      <c r="B207" s="22" t="s">
        <v>383</v>
      </c>
      <c r="C207" s="24" t="s">
        <v>476</v>
      </c>
      <c r="D207" s="24" t="s">
        <v>242</v>
      </c>
      <c r="E207" s="176">
        <v>5765425</v>
      </c>
      <c r="F207" s="27">
        <v>2471729</v>
      </c>
      <c r="G207" s="65" t="s">
        <v>408</v>
      </c>
      <c r="H207" s="24" t="s">
        <v>37</v>
      </c>
      <c r="I207" s="33">
        <v>3465</v>
      </c>
      <c r="J207" s="33">
        <v>3465</v>
      </c>
      <c r="K207" s="34"/>
      <c r="L207" s="33">
        <f t="shared" si="54"/>
        <v>0</v>
      </c>
      <c r="M207" s="34">
        <v>1</v>
      </c>
      <c r="N207" s="33">
        <f t="shared" si="55"/>
        <v>3465</v>
      </c>
      <c r="O207" s="34"/>
      <c r="P207" s="33">
        <f t="shared" si="59"/>
        <v>0</v>
      </c>
      <c r="Q207" s="34"/>
      <c r="R207" s="33">
        <f t="shared" si="60"/>
        <v>0</v>
      </c>
      <c r="S207" s="34">
        <f t="shared" si="61"/>
        <v>1</v>
      </c>
      <c r="T207" s="34">
        <v>0</v>
      </c>
      <c r="U207" s="33"/>
      <c r="V207" s="24" t="s">
        <v>245</v>
      </c>
      <c r="W207" s="54" t="s">
        <v>245</v>
      </c>
      <c r="X207" s="24">
        <v>2032</v>
      </c>
      <c r="Y207" s="22"/>
      <c r="Z207" s="24">
        <v>2032</v>
      </c>
      <c r="AA207" s="33">
        <v>0</v>
      </c>
      <c r="AB207" s="33">
        <v>0</v>
      </c>
      <c r="AC207" s="54"/>
      <c r="AD207" s="34">
        <v>0</v>
      </c>
      <c r="AE207" s="62">
        <f t="shared" si="57"/>
        <v>0</v>
      </c>
      <c r="AF207" s="34">
        <v>0</v>
      </c>
      <c r="AG207" s="33">
        <f t="shared" si="52"/>
        <v>0</v>
      </c>
      <c r="AH207" s="58">
        <v>0</v>
      </c>
      <c r="AI207" s="33">
        <f t="shared" si="53"/>
        <v>0</v>
      </c>
      <c r="AJ207" s="24"/>
      <c r="AK207" s="54">
        <f t="shared" si="56"/>
        <v>0</v>
      </c>
      <c r="AL207" s="34">
        <v>0</v>
      </c>
      <c r="AM207" s="59">
        <f t="shared" si="58"/>
        <v>0</v>
      </c>
      <c r="AN207" s="67"/>
      <c r="AO207" s="60"/>
      <c r="AP207" s="60"/>
      <c r="AQ207" s="60"/>
      <c r="AR207" s="60"/>
      <c r="AS207" s="60"/>
      <c r="AT207" s="60"/>
      <c r="AU207" s="60"/>
      <c r="AV207" s="49"/>
      <c r="AW207" s="49"/>
      <c r="AX207" s="49"/>
      <c r="AY207" s="11"/>
      <c r="AZ207" s="11"/>
      <c r="BA207" s="11"/>
      <c r="BB207" s="11"/>
      <c r="BC207" s="11"/>
      <c r="BD207" s="11"/>
    </row>
    <row r="208" spans="1:56" s="2" customFormat="1" ht="15" customHeight="1">
      <c r="A208" s="53" t="s">
        <v>489</v>
      </c>
      <c r="B208" s="22" t="s">
        <v>383</v>
      </c>
      <c r="C208" s="24" t="s">
        <v>476</v>
      </c>
      <c r="D208" s="24" t="s">
        <v>243</v>
      </c>
      <c r="E208" s="176">
        <v>5771235</v>
      </c>
      <c r="F208" s="27">
        <v>2475423</v>
      </c>
      <c r="G208" s="65" t="s">
        <v>408</v>
      </c>
      <c r="H208" s="24" t="s">
        <v>37</v>
      </c>
      <c r="I208" s="33">
        <v>6935</v>
      </c>
      <c r="J208" s="33">
        <v>6935</v>
      </c>
      <c r="K208" s="34"/>
      <c r="L208" s="33">
        <f t="shared" si="54"/>
        <v>0</v>
      </c>
      <c r="M208" s="34">
        <v>1</v>
      </c>
      <c r="N208" s="33">
        <f t="shared" si="55"/>
        <v>6935</v>
      </c>
      <c r="O208" s="34"/>
      <c r="P208" s="33">
        <f t="shared" si="59"/>
        <v>0</v>
      </c>
      <c r="Q208" s="34"/>
      <c r="R208" s="33">
        <f t="shared" si="60"/>
        <v>0</v>
      </c>
      <c r="S208" s="34">
        <f t="shared" si="61"/>
        <v>1</v>
      </c>
      <c r="T208" s="34">
        <v>0</v>
      </c>
      <c r="U208" s="33"/>
      <c r="V208" s="24">
        <v>2029</v>
      </c>
      <c r="W208" s="54" t="s">
        <v>245</v>
      </c>
      <c r="X208" s="24">
        <v>2030</v>
      </c>
      <c r="Y208" s="22"/>
      <c r="Z208" s="24">
        <v>2030</v>
      </c>
      <c r="AA208" s="33">
        <v>0</v>
      </c>
      <c r="AB208" s="33">
        <v>0</v>
      </c>
      <c r="AC208" s="54"/>
      <c r="AD208" s="34">
        <v>0</v>
      </c>
      <c r="AE208" s="62">
        <f t="shared" si="57"/>
        <v>0</v>
      </c>
      <c r="AF208" s="34">
        <v>0</v>
      </c>
      <c r="AG208" s="33">
        <f t="shared" si="52"/>
        <v>0</v>
      </c>
      <c r="AH208" s="58">
        <v>0</v>
      </c>
      <c r="AI208" s="33">
        <f t="shared" si="53"/>
        <v>0</v>
      </c>
      <c r="AJ208" s="24"/>
      <c r="AK208" s="54">
        <f t="shared" si="56"/>
        <v>0</v>
      </c>
      <c r="AL208" s="34">
        <v>0</v>
      </c>
      <c r="AM208" s="59">
        <f t="shared" si="58"/>
        <v>0</v>
      </c>
      <c r="AN208" s="67"/>
      <c r="AO208" s="60"/>
      <c r="AP208" s="60"/>
      <c r="AQ208" s="60"/>
      <c r="AR208" s="60"/>
      <c r="AS208" s="60"/>
      <c r="AT208" s="60"/>
      <c r="AU208" s="60"/>
      <c r="AV208" s="49"/>
      <c r="AW208" s="49"/>
      <c r="AX208" s="49"/>
      <c r="AY208" s="11"/>
      <c r="AZ208" s="11"/>
      <c r="BA208" s="11"/>
      <c r="BB208" s="11"/>
      <c r="BC208" s="11"/>
      <c r="BD208" s="11"/>
    </row>
    <row r="209" spans="1:56" s="2" customFormat="1" ht="15" customHeight="1">
      <c r="A209" s="55" t="s">
        <v>465</v>
      </c>
      <c r="B209" s="22" t="s">
        <v>383</v>
      </c>
      <c r="C209" s="24" t="s">
        <v>476</v>
      </c>
      <c r="D209" s="24" t="s">
        <v>466</v>
      </c>
      <c r="E209" s="176">
        <v>5043517</v>
      </c>
      <c r="F209" s="27">
        <v>1446573</v>
      </c>
      <c r="G209" s="65" t="s">
        <v>468</v>
      </c>
      <c r="H209" s="24" t="s">
        <v>54</v>
      </c>
      <c r="I209" s="21">
        <v>266713.20000000013</v>
      </c>
      <c r="J209" s="33"/>
      <c r="K209" s="34">
        <v>0</v>
      </c>
      <c r="L209" s="33">
        <f>$I209*K209</f>
        <v>0</v>
      </c>
      <c r="M209" s="34">
        <v>1</v>
      </c>
      <c r="N209" s="33">
        <f>$I209*M209</f>
        <v>266713.20000000013</v>
      </c>
      <c r="O209" s="34">
        <v>0</v>
      </c>
      <c r="P209" s="33">
        <f t="shared" si="59"/>
        <v>0</v>
      </c>
      <c r="Q209" s="34">
        <v>0</v>
      </c>
      <c r="R209" s="33">
        <f t="shared" si="60"/>
        <v>0</v>
      </c>
      <c r="S209" s="34">
        <f t="shared" si="61"/>
        <v>1</v>
      </c>
      <c r="T209" s="34">
        <v>0</v>
      </c>
      <c r="U209" s="27">
        <v>6000</v>
      </c>
      <c r="V209" s="88">
        <v>49958</v>
      </c>
      <c r="W209" s="54"/>
      <c r="X209" s="88">
        <v>49958</v>
      </c>
      <c r="Y209" s="22" t="s">
        <v>424</v>
      </c>
      <c r="Z209" s="57">
        <v>2036</v>
      </c>
      <c r="AA209" s="33">
        <v>11</v>
      </c>
      <c r="AB209" s="33"/>
      <c r="AC209" s="54" t="s">
        <v>473</v>
      </c>
      <c r="AD209" s="34">
        <v>0</v>
      </c>
      <c r="AE209" s="62"/>
      <c r="AF209" s="34">
        <v>0</v>
      </c>
      <c r="AG209" s="33"/>
      <c r="AH209" s="58">
        <v>0</v>
      </c>
      <c r="AI209" s="33"/>
      <c r="AJ209" s="24"/>
      <c r="AK209" s="54"/>
      <c r="AL209" s="34">
        <v>0</v>
      </c>
      <c r="AM209" s="59"/>
      <c r="AN209" s="60"/>
      <c r="AO209" s="60"/>
      <c r="AP209" s="60"/>
      <c r="AQ209" s="60"/>
      <c r="AR209" s="60"/>
      <c r="AS209" s="60"/>
      <c r="AT209" s="60"/>
      <c r="AU209" s="60"/>
      <c r="AV209" s="49"/>
      <c r="AW209" s="49"/>
      <c r="AX209" s="49"/>
      <c r="AY209" s="11"/>
      <c r="AZ209" s="11"/>
      <c r="BA209" s="11"/>
      <c r="BB209" s="11"/>
      <c r="BC209" s="11"/>
      <c r="BD209" s="11"/>
    </row>
    <row r="210" spans="1:56" s="2" customFormat="1" ht="15" customHeight="1">
      <c r="A210" s="53" t="s">
        <v>234</v>
      </c>
      <c r="B210" s="22" t="s">
        <v>383</v>
      </c>
      <c r="C210" s="24" t="s">
        <v>476</v>
      </c>
      <c r="D210" s="95" t="s">
        <v>232</v>
      </c>
      <c r="E210" s="177">
        <v>5792162</v>
      </c>
      <c r="F210" s="33">
        <v>1801496</v>
      </c>
      <c r="G210" s="24"/>
      <c r="H210" s="24" t="s">
        <v>53</v>
      </c>
      <c r="I210" s="56">
        <v>1549628</v>
      </c>
      <c r="J210" s="33">
        <v>1863103</v>
      </c>
      <c r="K210" s="34">
        <v>1</v>
      </c>
      <c r="L210" s="33">
        <f t="shared" ref="L210:L256" si="62">I210*K210</f>
        <v>1549628</v>
      </c>
      <c r="M210" s="34"/>
      <c r="N210" s="33">
        <f t="shared" ref="N210:N256" si="63">I210*M210</f>
        <v>0</v>
      </c>
      <c r="O210" s="34"/>
      <c r="P210" s="33">
        <f t="shared" si="59"/>
        <v>0</v>
      </c>
      <c r="Q210" s="34"/>
      <c r="R210" s="33">
        <f t="shared" si="60"/>
        <v>0</v>
      </c>
      <c r="S210" s="34">
        <f t="shared" si="61"/>
        <v>1</v>
      </c>
      <c r="T210" s="34">
        <v>0.25</v>
      </c>
      <c r="U210" s="27">
        <v>2555000</v>
      </c>
      <c r="V210" s="24"/>
      <c r="W210" s="54" t="s">
        <v>39</v>
      </c>
      <c r="X210" s="35">
        <v>42308</v>
      </c>
      <c r="Y210" s="72" t="s">
        <v>436</v>
      </c>
      <c r="Z210" s="57">
        <v>2015</v>
      </c>
      <c r="AA210" s="33"/>
      <c r="AB210" s="33"/>
      <c r="AC210" s="54"/>
      <c r="AD210" s="34"/>
      <c r="AE210" s="62">
        <f t="shared" ref="AE210:AE246" si="64">AA210*AD210</f>
        <v>0</v>
      </c>
      <c r="AF210" s="34"/>
      <c r="AG210" s="33">
        <f t="shared" ref="AG210:AG246" si="65">AA210*AF210</f>
        <v>0</v>
      </c>
      <c r="AH210" s="58"/>
      <c r="AI210" s="33">
        <f t="shared" ref="AI210:AI246" si="66">AA210*AH210</f>
        <v>0</v>
      </c>
      <c r="AJ210" s="24"/>
      <c r="AK210" s="54">
        <f t="shared" ref="AK210:AK233" si="67">AJ210*AA210</f>
        <v>0</v>
      </c>
      <c r="AL210" s="34">
        <v>1</v>
      </c>
      <c r="AM210" s="59">
        <f t="shared" ref="AM210:AM228" si="68">AA210*AL210</f>
        <v>0</v>
      </c>
      <c r="AN210" s="67" t="s">
        <v>440</v>
      </c>
      <c r="AO210" s="60"/>
      <c r="AP210" s="60"/>
      <c r="AQ210" s="60"/>
      <c r="AR210" s="60"/>
      <c r="AS210" s="60"/>
      <c r="AT210" s="60"/>
      <c r="AU210" s="60"/>
      <c r="AV210" s="49"/>
      <c r="AW210" s="49"/>
      <c r="AX210" s="49"/>
      <c r="AY210" s="11"/>
      <c r="AZ210" s="11"/>
      <c r="BA210" s="11"/>
      <c r="BB210" s="11"/>
      <c r="BC210" s="11"/>
      <c r="BD210" s="11"/>
    </row>
    <row r="211" spans="1:56" s="2" customFormat="1" ht="15" customHeight="1">
      <c r="A211" s="53" t="s">
        <v>234</v>
      </c>
      <c r="B211" s="22" t="s">
        <v>383</v>
      </c>
      <c r="C211" s="24" t="s">
        <v>476</v>
      </c>
      <c r="D211" s="35" t="s">
        <v>233</v>
      </c>
      <c r="E211" s="177">
        <v>5802687</v>
      </c>
      <c r="F211" s="33">
        <v>1815356</v>
      </c>
      <c r="G211" s="33"/>
      <c r="H211" s="24" t="s">
        <v>54</v>
      </c>
      <c r="I211" s="56">
        <v>1994056</v>
      </c>
      <c r="J211" s="33">
        <v>1336257.4709999999</v>
      </c>
      <c r="K211" s="34"/>
      <c r="L211" s="33">
        <f t="shared" si="62"/>
        <v>0</v>
      </c>
      <c r="M211" s="34">
        <v>1</v>
      </c>
      <c r="N211" s="33">
        <f t="shared" si="63"/>
        <v>1994056</v>
      </c>
      <c r="O211" s="34"/>
      <c r="P211" s="33">
        <f t="shared" si="59"/>
        <v>0</v>
      </c>
      <c r="Q211" s="34"/>
      <c r="R211" s="33">
        <f t="shared" si="60"/>
        <v>0</v>
      </c>
      <c r="S211" s="34">
        <f t="shared" si="61"/>
        <v>1</v>
      </c>
      <c r="T211" s="34">
        <v>0.25</v>
      </c>
      <c r="U211" s="27">
        <v>2628000</v>
      </c>
      <c r="V211" s="35">
        <v>42705</v>
      </c>
      <c r="W211" s="54" t="s">
        <v>39</v>
      </c>
      <c r="X211" s="35">
        <v>42705</v>
      </c>
      <c r="Y211" s="72" t="s">
        <v>436</v>
      </c>
      <c r="Z211" s="57">
        <v>2016</v>
      </c>
      <c r="AA211" s="33"/>
      <c r="AB211" s="33"/>
      <c r="AC211" s="54"/>
      <c r="AD211" s="34"/>
      <c r="AE211" s="62">
        <f t="shared" si="64"/>
        <v>0</v>
      </c>
      <c r="AF211" s="34"/>
      <c r="AG211" s="33">
        <f t="shared" si="65"/>
        <v>0</v>
      </c>
      <c r="AH211" s="58"/>
      <c r="AI211" s="33">
        <f t="shared" si="66"/>
        <v>0</v>
      </c>
      <c r="AJ211" s="24"/>
      <c r="AK211" s="54">
        <f t="shared" si="67"/>
        <v>0</v>
      </c>
      <c r="AL211" s="34">
        <v>1</v>
      </c>
      <c r="AM211" s="59">
        <f t="shared" si="68"/>
        <v>0</v>
      </c>
      <c r="AN211" s="67" t="s">
        <v>440</v>
      </c>
      <c r="AO211" s="67"/>
      <c r="AP211" s="67"/>
      <c r="AQ211" s="67"/>
      <c r="AR211" s="67"/>
      <c r="AS211" s="67"/>
      <c r="AT211" s="67"/>
      <c r="AU211" s="60"/>
      <c r="AV211" s="49"/>
      <c r="AW211" s="49"/>
      <c r="AX211" s="49"/>
      <c r="AY211" s="11"/>
      <c r="AZ211" s="11"/>
      <c r="BA211" s="11"/>
      <c r="BB211" s="11"/>
      <c r="BC211" s="11"/>
      <c r="BD211" s="11"/>
    </row>
    <row r="212" spans="1:56" s="2" customFormat="1" ht="15" customHeight="1">
      <c r="A212" s="53" t="s">
        <v>239</v>
      </c>
      <c r="B212" s="22" t="s">
        <v>383</v>
      </c>
      <c r="C212" s="24" t="s">
        <v>476</v>
      </c>
      <c r="D212" s="35" t="s">
        <v>237</v>
      </c>
      <c r="E212" s="177">
        <v>5667393.0449999999</v>
      </c>
      <c r="F212" s="33">
        <v>1981747.977</v>
      </c>
      <c r="G212" s="33" t="s">
        <v>320</v>
      </c>
      <c r="H212" s="24" t="s">
        <v>54</v>
      </c>
      <c r="I212" s="21">
        <v>962435</v>
      </c>
      <c r="J212" s="33">
        <v>972571</v>
      </c>
      <c r="K212" s="34"/>
      <c r="L212" s="33">
        <f t="shared" si="62"/>
        <v>0</v>
      </c>
      <c r="M212" s="34"/>
      <c r="N212" s="33">
        <f t="shared" si="63"/>
        <v>0</v>
      </c>
      <c r="O212" s="34"/>
      <c r="P212" s="33">
        <f t="shared" si="59"/>
        <v>0</v>
      </c>
      <c r="Q212" s="34">
        <v>1</v>
      </c>
      <c r="R212" s="33">
        <f t="shared" si="60"/>
        <v>962435</v>
      </c>
      <c r="S212" s="34">
        <f t="shared" si="61"/>
        <v>1</v>
      </c>
      <c r="T212" s="34">
        <v>0</v>
      </c>
      <c r="U212" s="33"/>
      <c r="V212" s="24"/>
      <c r="W212" s="143"/>
      <c r="X212" s="88">
        <v>43616</v>
      </c>
      <c r="Y212" s="22"/>
      <c r="Z212" s="57">
        <v>2019</v>
      </c>
      <c r="AA212" s="27">
        <v>7.415</v>
      </c>
      <c r="AB212" s="33">
        <v>6.3129999999999997</v>
      </c>
      <c r="AC212" s="54"/>
      <c r="AD212" s="34">
        <v>0</v>
      </c>
      <c r="AE212" s="62">
        <f t="shared" si="64"/>
        <v>0</v>
      </c>
      <c r="AF212" s="34">
        <v>1</v>
      </c>
      <c r="AG212" s="33">
        <f t="shared" si="65"/>
        <v>7.415</v>
      </c>
      <c r="AH212" s="58">
        <v>0</v>
      </c>
      <c r="AI212" s="33">
        <f t="shared" si="66"/>
        <v>0</v>
      </c>
      <c r="AJ212" s="24"/>
      <c r="AK212" s="54">
        <f t="shared" si="67"/>
        <v>0</v>
      </c>
      <c r="AL212" s="34">
        <v>0</v>
      </c>
      <c r="AM212" s="59">
        <f t="shared" si="68"/>
        <v>0</v>
      </c>
      <c r="AN212" s="68"/>
      <c r="AO212" s="60"/>
      <c r="AP212" s="60"/>
      <c r="AQ212" s="60"/>
      <c r="AR212" s="60"/>
      <c r="AS212" s="60"/>
      <c r="AT212" s="60"/>
      <c r="AU212" s="60"/>
      <c r="AV212" s="49"/>
      <c r="AW212" s="49"/>
      <c r="AX212" s="49"/>
      <c r="AY212" s="11"/>
      <c r="AZ212" s="11"/>
      <c r="BA212" s="11"/>
      <c r="BB212" s="11"/>
      <c r="BC212" s="11"/>
      <c r="BD212" s="11"/>
    </row>
    <row r="213" spans="1:56" s="2" customFormat="1" ht="15" customHeight="1">
      <c r="A213" s="53" t="s">
        <v>239</v>
      </c>
      <c r="B213" s="22" t="s">
        <v>383</v>
      </c>
      <c r="C213" s="24" t="s">
        <v>476</v>
      </c>
      <c r="D213" s="35" t="s">
        <v>238</v>
      </c>
      <c r="E213" s="177">
        <v>5695875.4639999997</v>
      </c>
      <c r="F213" s="33">
        <v>1960208.2009999999</v>
      </c>
      <c r="G213" s="33" t="s">
        <v>320</v>
      </c>
      <c r="H213" s="34" t="s">
        <v>37</v>
      </c>
      <c r="I213" s="21">
        <v>7027</v>
      </c>
      <c r="J213" s="33">
        <v>7227</v>
      </c>
      <c r="K213" s="34">
        <v>1</v>
      </c>
      <c r="L213" s="33">
        <f t="shared" si="62"/>
        <v>7027</v>
      </c>
      <c r="M213" s="34"/>
      <c r="N213" s="33">
        <f t="shared" si="63"/>
        <v>0</v>
      </c>
      <c r="O213" s="34"/>
      <c r="P213" s="33">
        <f t="shared" si="59"/>
        <v>0</v>
      </c>
      <c r="Q213" s="34"/>
      <c r="R213" s="33">
        <f t="shared" si="60"/>
        <v>0</v>
      </c>
      <c r="S213" s="34">
        <f t="shared" si="61"/>
        <v>1</v>
      </c>
      <c r="T213" s="34">
        <v>0</v>
      </c>
      <c r="U213" s="33"/>
      <c r="V213" s="24"/>
      <c r="W213" s="143"/>
      <c r="X213" s="88">
        <v>49095</v>
      </c>
      <c r="Y213" s="22"/>
      <c r="Z213" s="57">
        <v>2034</v>
      </c>
      <c r="AA213" s="27">
        <v>2.63</v>
      </c>
      <c r="AB213" s="33">
        <v>2.78</v>
      </c>
      <c r="AC213" s="78"/>
      <c r="AD213" s="34">
        <v>0</v>
      </c>
      <c r="AE213" s="62">
        <f t="shared" si="64"/>
        <v>0</v>
      </c>
      <c r="AF213" s="34">
        <v>1</v>
      </c>
      <c r="AG213" s="33">
        <f t="shared" si="65"/>
        <v>2.63</v>
      </c>
      <c r="AH213" s="58">
        <v>0</v>
      </c>
      <c r="AI213" s="33">
        <f t="shared" si="66"/>
        <v>0</v>
      </c>
      <c r="AJ213" s="24"/>
      <c r="AK213" s="54">
        <f t="shared" si="67"/>
        <v>0</v>
      </c>
      <c r="AL213" s="34">
        <v>0</v>
      </c>
      <c r="AM213" s="59">
        <f t="shared" si="68"/>
        <v>0</v>
      </c>
      <c r="AN213" s="68"/>
      <c r="AO213" s="60"/>
      <c r="AP213" s="60"/>
      <c r="AQ213" s="60"/>
      <c r="AR213" s="60"/>
      <c r="AS213" s="60"/>
      <c r="AT213" s="60"/>
      <c r="AU213" s="60"/>
      <c r="AV213" s="49"/>
      <c r="AW213" s="49"/>
      <c r="AX213" s="49"/>
      <c r="AY213" s="11"/>
      <c r="AZ213" s="11"/>
      <c r="BA213" s="11"/>
      <c r="BB213" s="11"/>
      <c r="BC213" s="11"/>
      <c r="BD213" s="11"/>
    </row>
    <row r="214" spans="1:56" s="2" customFormat="1" ht="15" customHeight="1">
      <c r="A214" s="53" t="s">
        <v>289</v>
      </c>
      <c r="B214" s="63" t="s">
        <v>486</v>
      </c>
      <c r="C214" s="24" t="s">
        <v>476</v>
      </c>
      <c r="D214" s="76" t="s">
        <v>290</v>
      </c>
      <c r="E214" s="177">
        <v>5948043.1699999999</v>
      </c>
      <c r="F214" s="33">
        <v>1762643.37</v>
      </c>
      <c r="G214" s="65" t="s">
        <v>318</v>
      </c>
      <c r="H214" s="34" t="s">
        <v>37</v>
      </c>
      <c r="I214" s="126">
        <v>3413185</v>
      </c>
      <c r="J214" s="33">
        <v>3437273</v>
      </c>
      <c r="K214" s="34">
        <v>0</v>
      </c>
      <c r="L214" s="33">
        <f t="shared" si="62"/>
        <v>0</v>
      </c>
      <c r="M214" s="34">
        <v>0</v>
      </c>
      <c r="N214" s="33">
        <f t="shared" si="63"/>
        <v>0</v>
      </c>
      <c r="O214" s="34">
        <v>1</v>
      </c>
      <c r="P214" s="33">
        <f t="shared" si="59"/>
        <v>3413185</v>
      </c>
      <c r="Q214" s="34">
        <v>0</v>
      </c>
      <c r="R214" s="33">
        <f t="shared" si="60"/>
        <v>0</v>
      </c>
      <c r="S214" s="34">
        <f t="shared" si="61"/>
        <v>1</v>
      </c>
      <c r="T214" s="34">
        <v>7.1999999999999998E-3</v>
      </c>
      <c r="U214" s="39">
        <f>20000*365</f>
        <v>7300000</v>
      </c>
      <c r="V214" s="24" t="s">
        <v>264</v>
      </c>
      <c r="W214" s="54"/>
      <c r="X214" s="24" t="s">
        <v>264</v>
      </c>
      <c r="Y214" s="22"/>
      <c r="Z214" s="57">
        <v>2021</v>
      </c>
      <c r="AA214" s="71">
        <v>871</v>
      </c>
      <c r="AB214" s="33">
        <v>785.4</v>
      </c>
      <c r="AC214" s="54"/>
      <c r="AD214" s="34">
        <v>0</v>
      </c>
      <c r="AE214" s="62">
        <f t="shared" si="64"/>
        <v>0</v>
      </c>
      <c r="AF214" s="34">
        <v>1</v>
      </c>
      <c r="AG214" s="33">
        <f t="shared" si="65"/>
        <v>871</v>
      </c>
      <c r="AH214" s="58">
        <v>0</v>
      </c>
      <c r="AI214" s="33">
        <f t="shared" si="66"/>
        <v>0</v>
      </c>
      <c r="AJ214" s="24"/>
      <c r="AK214" s="54">
        <f t="shared" si="67"/>
        <v>0</v>
      </c>
      <c r="AL214" s="34"/>
      <c r="AM214" s="59">
        <f t="shared" si="68"/>
        <v>0</v>
      </c>
      <c r="AN214" s="67"/>
      <c r="AO214" s="67"/>
      <c r="AP214" s="67"/>
      <c r="AQ214" s="67"/>
      <c r="AR214" s="67"/>
      <c r="AS214" s="67"/>
      <c r="AT214" s="67"/>
      <c r="AU214" s="60"/>
      <c r="AV214" s="49"/>
      <c r="AW214" s="49"/>
      <c r="AX214" s="49"/>
      <c r="AY214" s="11"/>
      <c r="AZ214" s="11"/>
      <c r="BA214" s="11"/>
      <c r="BB214" s="11"/>
      <c r="BC214" s="11"/>
      <c r="BD214" s="11"/>
    </row>
    <row r="215" spans="1:56" s="2" customFormat="1" ht="15" customHeight="1">
      <c r="A215" s="53" t="s">
        <v>289</v>
      </c>
      <c r="B215" s="63" t="s">
        <v>486</v>
      </c>
      <c r="C215" s="24" t="s">
        <v>476</v>
      </c>
      <c r="D215" s="76" t="s">
        <v>291</v>
      </c>
      <c r="E215" s="177">
        <v>5931586.0499999998</v>
      </c>
      <c r="F215" s="33">
        <v>1753171.27</v>
      </c>
      <c r="G215" s="65" t="s">
        <v>318</v>
      </c>
      <c r="H215" s="34" t="s">
        <v>37</v>
      </c>
      <c r="I215" s="126">
        <v>19013353</v>
      </c>
      <c r="J215" s="33">
        <v>20203348</v>
      </c>
      <c r="K215" s="34">
        <v>0</v>
      </c>
      <c r="L215" s="33">
        <f t="shared" si="62"/>
        <v>0</v>
      </c>
      <c r="M215" s="34">
        <v>0</v>
      </c>
      <c r="N215" s="33">
        <f t="shared" si="63"/>
        <v>0</v>
      </c>
      <c r="O215" s="127">
        <v>1</v>
      </c>
      <c r="P215" s="33">
        <f t="shared" si="59"/>
        <v>19013353</v>
      </c>
      <c r="Q215" s="127">
        <v>0</v>
      </c>
      <c r="R215" s="33">
        <f t="shared" si="60"/>
        <v>0</v>
      </c>
      <c r="S215" s="34">
        <f t="shared" si="61"/>
        <v>1</v>
      </c>
      <c r="T215" s="34">
        <v>3.6499999999999998E-2</v>
      </c>
      <c r="U215" s="39">
        <f>150000*365</f>
        <v>54750000</v>
      </c>
      <c r="V215" s="24" t="s">
        <v>265</v>
      </c>
      <c r="W215" s="54"/>
      <c r="X215" s="24" t="s">
        <v>275</v>
      </c>
      <c r="Y215" s="22"/>
      <c r="Z215" s="57">
        <v>2020</v>
      </c>
      <c r="AA215" s="71">
        <v>3163</v>
      </c>
      <c r="AB215" s="33">
        <v>3298</v>
      </c>
      <c r="AC215" s="54"/>
      <c r="AD215" s="34">
        <v>0</v>
      </c>
      <c r="AE215" s="62">
        <f t="shared" si="64"/>
        <v>0</v>
      </c>
      <c r="AF215" s="34">
        <v>1</v>
      </c>
      <c r="AG215" s="33">
        <f t="shared" si="65"/>
        <v>3163</v>
      </c>
      <c r="AH215" s="58">
        <v>0</v>
      </c>
      <c r="AI215" s="33">
        <f t="shared" si="66"/>
        <v>0</v>
      </c>
      <c r="AJ215" s="24"/>
      <c r="AK215" s="54">
        <f t="shared" si="67"/>
        <v>0</v>
      </c>
      <c r="AL215" s="34"/>
      <c r="AM215" s="59">
        <f t="shared" si="68"/>
        <v>0</v>
      </c>
      <c r="AN215" s="83"/>
      <c r="AO215" s="83"/>
      <c r="AP215" s="83"/>
      <c r="AQ215" s="67"/>
      <c r="AR215" s="60"/>
      <c r="AS215" s="60"/>
      <c r="AT215" s="60"/>
      <c r="AU215" s="60"/>
      <c r="AV215" s="49"/>
      <c r="AW215" s="49"/>
      <c r="AX215" s="49"/>
      <c r="AY215" s="11"/>
      <c r="AZ215" s="11"/>
      <c r="BA215" s="11"/>
      <c r="BB215" s="11"/>
      <c r="BC215" s="11"/>
      <c r="BD215" s="11"/>
    </row>
    <row r="216" spans="1:56" s="2" customFormat="1" ht="15" customHeight="1">
      <c r="A216" s="53" t="s">
        <v>289</v>
      </c>
      <c r="B216" s="63" t="s">
        <v>486</v>
      </c>
      <c r="C216" s="24" t="s">
        <v>476</v>
      </c>
      <c r="D216" s="76" t="s">
        <v>292</v>
      </c>
      <c r="E216" s="177">
        <v>5970109.46</v>
      </c>
      <c r="F216" s="33">
        <v>1750088.87</v>
      </c>
      <c r="G216" s="65" t="s">
        <v>318</v>
      </c>
      <c r="H216" s="34" t="s">
        <v>37</v>
      </c>
      <c r="I216" s="126">
        <v>374161</v>
      </c>
      <c r="J216" s="33">
        <v>372241</v>
      </c>
      <c r="K216" s="127">
        <v>1</v>
      </c>
      <c r="L216" s="33">
        <f t="shared" si="62"/>
        <v>374161</v>
      </c>
      <c r="M216" s="34">
        <v>0</v>
      </c>
      <c r="N216" s="33">
        <f t="shared" si="63"/>
        <v>0</v>
      </c>
      <c r="O216" s="34">
        <v>0</v>
      </c>
      <c r="P216" s="33">
        <f t="shared" si="59"/>
        <v>0</v>
      </c>
      <c r="Q216" s="34">
        <v>0</v>
      </c>
      <c r="R216" s="33">
        <f t="shared" si="60"/>
        <v>0</v>
      </c>
      <c r="S216" s="34">
        <f t="shared" si="61"/>
        <v>1</v>
      </c>
      <c r="T216" s="34">
        <v>2.75E-2</v>
      </c>
      <c r="U216" s="39">
        <f>3000*365</f>
        <v>1095000</v>
      </c>
      <c r="V216" s="24" t="s">
        <v>266</v>
      </c>
      <c r="W216" s="54"/>
      <c r="X216" s="24" t="s">
        <v>266</v>
      </c>
      <c r="Y216" s="22"/>
      <c r="Z216" s="57">
        <v>2011</v>
      </c>
      <c r="AA216" s="128">
        <v>103</v>
      </c>
      <c r="AB216" s="33">
        <v>86.31</v>
      </c>
      <c r="AC216" s="54"/>
      <c r="AD216" s="34">
        <v>0</v>
      </c>
      <c r="AE216" s="62">
        <f t="shared" si="64"/>
        <v>0</v>
      </c>
      <c r="AF216" s="34">
        <v>1</v>
      </c>
      <c r="AG216" s="33">
        <f t="shared" si="65"/>
        <v>103</v>
      </c>
      <c r="AH216" s="58">
        <v>0</v>
      </c>
      <c r="AI216" s="33">
        <f t="shared" si="66"/>
        <v>0</v>
      </c>
      <c r="AJ216" s="24"/>
      <c r="AK216" s="54">
        <f t="shared" si="67"/>
        <v>0</v>
      </c>
      <c r="AL216" s="34"/>
      <c r="AM216" s="59">
        <f t="shared" si="68"/>
        <v>0</v>
      </c>
      <c r="AN216" s="60"/>
      <c r="AO216" s="60"/>
      <c r="AP216" s="60"/>
      <c r="AQ216" s="60"/>
      <c r="AR216" s="60"/>
      <c r="AS216" s="60"/>
      <c r="AT216" s="60"/>
      <c r="AU216" s="60"/>
      <c r="AV216" s="49"/>
      <c r="AW216" s="49"/>
      <c r="AX216" s="49"/>
      <c r="AY216" s="8"/>
      <c r="AZ216" s="8"/>
      <c r="BA216" s="8"/>
      <c r="BB216" s="8"/>
      <c r="BC216" s="8"/>
      <c r="BD216" s="11"/>
    </row>
    <row r="217" spans="1:56" s="2" customFormat="1" ht="15" customHeight="1">
      <c r="A217" s="53" t="s">
        <v>289</v>
      </c>
      <c r="B217" s="63" t="s">
        <v>486</v>
      </c>
      <c r="C217" s="24" t="s">
        <v>476</v>
      </c>
      <c r="D217" s="76" t="s">
        <v>263</v>
      </c>
      <c r="E217" s="177">
        <v>5975401.1399999997</v>
      </c>
      <c r="F217" s="33">
        <v>1756796.07</v>
      </c>
      <c r="G217" s="65" t="s">
        <v>318</v>
      </c>
      <c r="H217" s="34" t="s">
        <v>37</v>
      </c>
      <c r="I217" s="126">
        <v>157748</v>
      </c>
      <c r="J217" s="33">
        <v>151002</v>
      </c>
      <c r="K217" s="34">
        <v>0</v>
      </c>
      <c r="L217" s="33">
        <f t="shared" si="62"/>
        <v>0</v>
      </c>
      <c r="M217" s="127">
        <v>1</v>
      </c>
      <c r="N217" s="33">
        <f t="shared" si="63"/>
        <v>157748</v>
      </c>
      <c r="O217" s="34">
        <v>0</v>
      </c>
      <c r="P217" s="33">
        <f t="shared" si="59"/>
        <v>0</v>
      </c>
      <c r="Q217" s="34">
        <v>0</v>
      </c>
      <c r="R217" s="33">
        <f t="shared" si="60"/>
        <v>0</v>
      </c>
      <c r="S217" s="34">
        <f t="shared" si="61"/>
        <v>1</v>
      </c>
      <c r="T217" s="34">
        <v>0</v>
      </c>
      <c r="U217" s="39">
        <f>600*365</f>
        <v>219000</v>
      </c>
      <c r="V217" s="24" t="s">
        <v>267</v>
      </c>
      <c r="W217" s="54"/>
      <c r="X217" s="24" t="s">
        <v>267</v>
      </c>
      <c r="Y217" s="22"/>
      <c r="Z217" s="57">
        <v>2015</v>
      </c>
      <c r="AA217" s="33"/>
      <c r="AB217" s="33"/>
      <c r="AC217" s="54"/>
      <c r="AD217" s="34"/>
      <c r="AE217" s="62">
        <f t="shared" si="64"/>
        <v>0</v>
      </c>
      <c r="AF217" s="34"/>
      <c r="AG217" s="33">
        <f t="shared" si="65"/>
        <v>0</v>
      </c>
      <c r="AH217" s="58"/>
      <c r="AI217" s="33">
        <f t="shared" si="66"/>
        <v>0</v>
      </c>
      <c r="AJ217" s="24"/>
      <c r="AK217" s="54">
        <f t="shared" si="67"/>
        <v>0</v>
      </c>
      <c r="AL217" s="34"/>
      <c r="AM217" s="59">
        <f t="shared" si="68"/>
        <v>0</v>
      </c>
      <c r="AN217" s="68"/>
      <c r="AO217" s="68"/>
      <c r="AP217" s="68"/>
      <c r="AQ217" s="68"/>
      <c r="AR217" s="68"/>
      <c r="AS217" s="68"/>
      <c r="AT217" s="68"/>
      <c r="AU217" s="60"/>
      <c r="AV217" s="49"/>
      <c r="AW217" s="49"/>
      <c r="AX217" s="49"/>
      <c r="AY217" s="11"/>
      <c r="AZ217" s="11"/>
      <c r="BA217" s="11"/>
      <c r="BB217" s="11"/>
      <c r="BC217" s="11"/>
      <c r="BD217" s="11"/>
    </row>
    <row r="218" spans="1:56" s="2" customFormat="1" ht="15" customHeight="1">
      <c r="A218" s="53" t="s">
        <v>289</v>
      </c>
      <c r="B218" s="63" t="s">
        <v>486</v>
      </c>
      <c r="C218" s="24" t="s">
        <v>476</v>
      </c>
      <c r="D218" s="34" t="s">
        <v>293</v>
      </c>
      <c r="E218" s="177">
        <v>5967873.7300000004</v>
      </c>
      <c r="F218" s="33">
        <v>1754004.71</v>
      </c>
      <c r="G218" s="65" t="s">
        <v>318</v>
      </c>
      <c r="H218" s="35" t="s">
        <v>54</v>
      </c>
      <c r="I218" s="126">
        <v>295591</v>
      </c>
      <c r="J218" s="33">
        <v>302438</v>
      </c>
      <c r="K218" s="34">
        <v>0</v>
      </c>
      <c r="L218" s="33">
        <f t="shared" si="62"/>
        <v>0</v>
      </c>
      <c r="M218" s="34">
        <v>0</v>
      </c>
      <c r="N218" s="33">
        <f t="shared" si="63"/>
        <v>0</v>
      </c>
      <c r="O218" s="127">
        <v>1</v>
      </c>
      <c r="P218" s="33">
        <f t="shared" si="59"/>
        <v>295591</v>
      </c>
      <c r="Q218" s="127">
        <v>0</v>
      </c>
      <c r="R218" s="33">
        <f t="shared" si="60"/>
        <v>0</v>
      </c>
      <c r="S218" s="34">
        <f t="shared" si="61"/>
        <v>1</v>
      </c>
      <c r="T218" s="34">
        <v>4.0000000000000002E-4</v>
      </c>
      <c r="U218" s="33">
        <f>2500*365</f>
        <v>912500</v>
      </c>
      <c r="V218" s="24" t="s">
        <v>266</v>
      </c>
      <c r="W218" s="54"/>
      <c r="X218" s="24" t="s">
        <v>266</v>
      </c>
      <c r="Y218" s="22"/>
      <c r="Z218" s="57">
        <v>2011</v>
      </c>
      <c r="AA218" s="33"/>
      <c r="AB218" s="33"/>
      <c r="AC218" s="54"/>
      <c r="AD218" s="34"/>
      <c r="AE218" s="62">
        <f t="shared" si="64"/>
        <v>0</v>
      </c>
      <c r="AF218" s="34"/>
      <c r="AG218" s="33">
        <f t="shared" si="65"/>
        <v>0</v>
      </c>
      <c r="AH218" s="58"/>
      <c r="AI218" s="33">
        <f t="shared" si="66"/>
        <v>0</v>
      </c>
      <c r="AJ218" s="24"/>
      <c r="AK218" s="54">
        <f t="shared" si="67"/>
        <v>0</v>
      </c>
      <c r="AL218" s="34"/>
      <c r="AM218" s="59">
        <f t="shared" si="68"/>
        <v>0</v>
      </c>
      <c r="AN218" s="67"/>
      <c r="AO218" s="67"/>
      <c r="AP218" s="67"/>
      <c r="AQ218" s="68"/>
      <c r="AR218" s="60"/>
      <c r="AS218" s="60"/>
      <c r="AT218" s="60"/>
      <c r="AU218" s="60"/>
      <c r="AV218" s="49"/>
      <c r="AW218" s="49"/>
      <c r="AX218" s="49"/>
      <c r="AY218" s="11"/>
      <c r="AZ218" s="11"/>
      <c r="BA218" s="11"/>
      <c r="BB218" s="11"/>
      <c r="BC218" s="11"/>
      <c r="BD218" s="11"/>
    </row>
    <row r="219" spans="1:56" s="2" customFormat="1" ht="15" customHeight="1">
      <c r="A219" s="53" t="s">
        <v>289</v>
      </c>
      <c r="B219" s="63" t="s">
        <v>486</v>
      </c>
      <c r="C219" s="24" t="s">
        <v>476</v>
      </c>
      <c r="D219" s="24" t="s">
        <v>294</v>
      </c>
      <c r="E219" s="177">
        <v>5954697.4500000002</v>
      </c>
      <c r="F219" s="33">
        <v>1751358.87</v>
      </c>
      <c r="G219" s="65" t="s">
        <v>318</v>
      </c>
      <c r="H219" s="24" t="s">
        <v>54</v>
      </c>
      <c r="I219" s="126">
        <v>86521</v>
      </c>
      <c r="J219" s="33">
        <v>109971</v>
      </c>
      <c r="K219" s="127">
        <v>1</v>
      </c>
      <c r="L219" s="33">
        <f t="shared" si="62"/>
        <v>86521</v>
      </c>
      <c r="M219" s="34">
        <v>0</v>
      </c>
      <c r="N219" s="33">
        <f t="shared" si="63"/>
        <v>0</v>
      </c>
      <c r="O219" s="34">
        <v>0</v>
      </c>
      <c r="P219" s="33">
        <f t="shared" si="59"/>
        <v>0</v>
      </c>
      <c r="Q219" s="34">
        <v>0</v>
      </c>
      <c r="R219" s="33">
        <f t="shared" si="60"/>
        <v>0</v>
      </c>
      <c r="S219" s="34">
        <f t="shared" si="61"/>
        <v>1</v>
      </c>
      <c r="T219" s="34">
        <v>6.7500000000000004E-2</v>
      </c>
      <c r="U219" s="33">
        <f>250*365</f>
        <v>91250</v>
      </c>
      <c r="V219" s="24"/>
      <c r="W219" s="54"/>
      <c r="X219" s="24" t="s">
        <v>276</v>
      </c>
      <c r="Y219" s="22"/>
      <c r="Z219" s="57">
        <v>2000</v>
      </c>
      <c r="AA219" s="33"/>
      <c r="AB219" s="33"/>
      <c r="AC219" s="54"/>
      <c r="AD219" s="34"/>
      <c r="AE219" s="62">
        <f t="shared" si="64"/>
        <v>0</v>
      </c>
      <c r="AF219" s="34"/>
      <c r="AG219" s="33">
        <f t="shared" si="65"/>
        <v>0</v>
      </c>
      <c r="AH219" s="58"/>
      <c r="AI219" s="33">
        <f t="shared" si="66"/>
        <v>0</v>
      </c>
      <c r="AJ219" s="24"/>
      <c r="AK219" s="54">
        <f t="shared" si="67"/>
        <v>0</v>
      </c>
      <c r="AL219" s="34"/>
      <c r="AM219" s="59">
        <f t="shared" si="68"/>
        <v>0</v>
      </c>
      <c r="AN219" s="68"/>
      <c r="AO219" s="68"/>
      <c r="AP219" s="68"/>
      <c r="AQ219" s="68"/>
      <c r="AR219" s="68"/>
      <c r="AS219" s="68"/>
      <c r="AT219" s="68"/>
      <c r="AU219" s="60"/>
      <c r="AV219" s="49"/>
      <c r="AW219" s="49"/>
      <c r="AX219" s="49"/>
      <c r="AY219" s="11"/>
      <c r="AZ219" s="11"/>
      <c r="BA219" s="11"/>
      <c r="BB219" s="11"/>
      <c r="BC219" s="11"/>
      <c r="BD219" s="11"/>
    </row>
    <row r="220" spans="1:56" s="2" customFormat="1" ht="15" customHeight="1">
      <c r="A220" s="53" t="s">
        <v>289</v>
      </c>
      <c r="B220" s="63" t="s">
        <v>486</v>
      </c>
      <c r="C220" s="24" t="s">
        <v>476</v>
      </c>
      <c r="D220" s="24" t="s">
        <v>295</v>
      </c>
      <c r="E220" s="177">
        <v>5929270.9400000004</v>
      </c>
      <c r="F220" s="33">
        <v>1732904.15</v>
      </c>
      <c r="G220" s="65" t="s">
        <v>378</v>
      </c>
      <c r="H220" s="24" t="s">
        <v>54</v>
      </c>
      <c r="I220" s="126">
        <v>4102</v>
      </c>
      <c r="J220" s="33">
        <v>4509</v>
      </c>
      <c r="K220" s="34">
        <v>0</v>
      </c>
      <c r="L220" s="33">
        <f t="shared" si="62"/>
        <v>0</v>
      </c>
      <c r="M220" s="127">
        <v>1</v>
      </c>
      <c r="N220" s="33">
        <f t="shared" si="63"/>
        <v>4102</v>
      </c>
      <c r="O220" s="34">
        <v>0</v>
      </c>
      <c r="P220" s="33">
        <f t="shared" si="59"/>
        <v>0</v>
      </c>
      <c r="Q220" s="34">
        <v>0</v>
      </c>
      <c r="R220" s="33">
        <f t="shared" si="60"/>
        <v>0</v>
      </c>
      <c r="S220" s="34">
        <f t="shared" si="61"/>
        <v>1</v>
      </c>
      <c r="T220" s="34">
        <v>0</v>
      </c>
      <c r="U220" s="33"/>
      <c r="V220" s="24"/>
      <c r="W220" s="54"/>
      <c r="X220" s="24" t="s">
        <v>277</v>
      </c>
      <c r="Y220" s="22"/>
      <c r="Z220" s="57">
        <v>2015</v>
      </c>
      <c r="AA220" s="33"/>
      <c r="AB220" s="33"/>
      <c r="AC220" s="54"/>
      <c r="AD220" s="34"/>
      <c r="AE220" s="62">
        <f t="shared" si="64"/>
        <v>0</v>
      </c>
      <c r="AF220" s="34"/>
      <c r="AG220" s="33">
        <f t="shared" si="65"/>
        <v>0</v>
      </c>
      <c r="AH220" s="58"/>
      <c r="AI220" s="33">
        <f t="shared" si="66"/>
        <v>0</v>
      </c>
      <c r="AJ220" s="24"/>
      <c r="AK220" s="54">
        <f t="shared" si="67"/>
        <v>0</v>
      </c>
      <c r="AL220" s="34"/>
      <c r="AM220" s="59">
        <f t="shared" si="68"/>
        <v>0</v>
      </c>
      <c r="AN220" s="67"/>
      <c r="AO220" s="129"/>
      <c r="AP220" s="67"/>
      <c r="AQ220" s="60"/>
      <c r="AR220" s="130"/>
      <c r="AS220" s="60"/>
      <c r="AT220" s="130"/>
      <c r="AU220" s="130"/>
      <c r="AV220" s="49"/>
      <c r="AW220" s="8"/>
      <c r="AX220" s="8"/>
      <c r="AY220" s="8"/>
      <c r="AZ220" s="8"/>
      <c r="BA220" s="8"/>
      <c r="BB220" s="8"/>
      <c r="BC220" s="11"/>
      <c r="BD220" s="11"/>
    </row>
    <row r="221" spans="1:56" s="2" customFormat="1" ht="15" customHeight="1">
      <c r="A221" s="53" t="s">
        <v>289</v>
      </c>
      <c r="B221" s="63" t="s">
        <v>486</v>
      </c>
      <c r="C221" s="24" t="s">
        <v>476</v>
      </c>
      <c r="D221" s="24" t="s">
        <v>296</v>
      </c>
      <c r="E221" s="177">
        <v>5941904.8200000003</v>
      </c>
      <c r="F221" s="33">
        <v>1728961.85</v>
      </c>
      <c r="G221" s="65" t="s">
        <v>318</v>
      </c>
      <c r="H221" s="24" t="s">
        <v>54</v>
      </c>
      <c r="I221" s="126">
        <v>456383</v>
      </c>
      <c r="J221" s="33">
        <v>447132</v>
      </c>
      <c r="K221" s="127">
        <v>1</v>
      </c>
      <c r="L221" s="33">
        <f t="shared" si="62"/>
        <v>456383</v>
      </c>
      <c r="M221" s="34">
        <v>0</v>
      </c>
      <c r="N221" s="33">
        <f t="shared" si="63"/>
        <v>0</v>
      </c>
      <c r="O221" s="34">
        <v>0</v>
      </c>
      <c r="P221" s="33">
        <f t="shared" si="59"/>
        <v>0</v>
      </c>
      <c r="Q221" s="34">
        <v>0</v>
      </c>
      <c r="R221" s="33">
        <f t="shared" si="60"/>
        <v>0</v>
      </c>
      <c r="S221" s="34">
        <f t="shared" si="61"/>
        <v>1</v>
      </c>
      <c r="T221" s="34">
        <v>3.2500000000000001E-2</v>
      </c>
      <c r="U221" s="33">
        <f>5000*365</f>
        <v>1825000</v>
      </c>
      <c r="V221" s="24" t="s">
        <v>268</v>
      </c>
      <c r="W221" s="54"/>
      <c r="X221" s="24" t="s">
        <v>268</v>
      </c>
      <c r="Y221" s="22"/>
      <c r="Z221" s="57">
        <v>2027</v>
      </c>
      <c r="AA221" s="33"/>
      <c r="AB221" s="33"/>
      <c r="AC221" s="54"/>
      <c r="AD221" s="34"/>
      <c r="AE221" s="62">
        <f t="shared" si="64"/>
        <v>0</v>
      </c>
      <c r="AF221" s="34"/>
      <c r="AG221" s="33">
        <f t="shared" si="65"/>
        <v>0</v>
      </c>
      <c r="AH221" s="58"/>
      <c r="AI221" s="33">
        <f t="shared" si="66"/>
        <v>0</v>
      </c>
      <c r="AJ221" s="24"/>
      <c r="AK221" s="54">
        <f t="shared" si="67"/>
        <v>0</v>
      </c>
      <c r="AL221" s="34"/>
      <c r="AM221" s="59">
        <f t="shared" si="68"/>
        <v>0</v>
      </c>
      <c r="AN221" s="67"/>
      <c r="AO221" s="67"/>
      <c r="AP221" s="129"/>
      <c r="AQ221" s="60"/>
      <c r="AR221" s="60"/>
      <c r="AS221" s="130"/>
      <c r="AT221" s="60"/>
      <c r="AU221" s="60"/>
      <c r="AV221" s="49"/>
      <c r="AW221" s="49"/>
      <c r="AX221" s="49"/>
      <c r="AY221" s="11"/>
      <c r="AZ221" s="11"/>
      <c r="BA221" s="11"/>
      <c r="BB221" s="11"/>
      <c r="BC221" s="8"/>
      <c r="BD221" s="8"/>
    </row>
    <row r="222" spans="1:56" s="13" customFormat="1" ht="15" customHeight="1">
      <c r="A222" s="53" t="s">
        <v>289</v>
      </c>
      <c r="B222" s="63" t="s">
        <v>486</v>
      </c>
      <c r="C222" s="24" t="s">
        <v>476</v>
      </c>
      <c r="D222" s="24" t="s">
        <v>297</v>
      </c>
      <c r="E222" s="177">
        <v>5980613.4400000004</v>
      </c>
      <c r="F222" s="33">
        <v>1738367.8</v>
      </c>
      <c r="G222" s="65" t="s">
        <v>318</v>
      </c>
      <c r="H222" s="24" t="s">
        <v>54</v>
      </c>
      <c r="I222" s="126">
        <v>231160</v>
      </c>
      <c r="J222" s="33">
        <v>255783</v>
      </c>
      <c r="K222" s="127">
        <v>1</v>
      </c>
      <c r="L222" s="33">
        <f t="shared" si="62"/>
        <v>231160</v>
      </c>
      <c r="M222" s="34">
        <v>0</v>
      </c>
      <c r="N222" s="33">
        <f t="shared" si="63"/>
        <v>0</v>
      </c>
      <c r="O222" s="34">
        <v>0</v>
      </c>
      <c r="P222" s="33">
        <f t="shared" si="59"/>
        <v>0</v>
      </c>
      <c r="Q222" s="34">
        <v>0</v>
      </c>
      <c r="R222" s="33">
        <f t="shared" si="60"/>
        <v>0</v>
      </c>
      <c r="S222" s="34">
        <f t="shared" si="61"/>
        <v>1</v>
      </c>
      <c r="T222" s="34">
        <v>4.7600000000000003E-2</v>
      </c>
      <c r="U222" s="33">
        <f>1800*365</f>
        <v>657000</v>
      </c>
      <c r="V222" s="24"/>
      <c r="W222" s="54"/>
      <c r="X222" s="24" t="s">
        <v>278</v>
      </c>
      <c r="Y222" s="22"/>
      <c r="Z222" s="57">
        <v>1999</v>
      </c>
      <c r="AA222" s="33"/>
      <c r="AB222" s="33"/>
      <c r="AC222" s="54"/>
      <c r="AD222" s="34"/>
      <c r="AE222" s="62">
        <f t="shared" si="64"/>
        <v>0</v>
      </c>
      <c r="AF222" s="34"/>
      <c r="AG222" s="33">
        <f t="shared" si="65"/>
        <v>0</v>
      </c>
      <c r="AH222" s="58"/>
      <c r="AI222" s="33">
        <f t="shared" si="66"/>
        <v>0</v>
      </c>
      <c r="AJ222" s="24"/>
      <c r="AK222" s="54">
        <f t="shared" si="67"/>
        <v>0</v>
      </c>
      <c r="AL222" s="34"/>
      <c r="AM222" s="59">
        <f t="shared" si="68"/>
        <v>0</v>
      </c>
      <c r="AN222" s="130"/>
      <c r="AO222" s="60"/>
      <c r="AP222" s="60"/>
      <c r="AQ222" s="130"/>
      <c r="AR222" s="60"/>
      <c r="AS222" s="60"/>
      <c r="AT222" s="60"/>
      <c r="AU222" s="60"/>
      <c r="AV222" s="8"/>
      <c r="AW222" s="49"/>
      <c r="AX222" s="49"/>
      <c r="AY222" s="11"/>
      <c r="AZ222" s="11"/>
      <c r="BA222" s="11"/>
      <c r="BB222" s="11"/>
      <c r="BC222" s="11"/>
      <c r="BD222" s="11"/>
    </row>
    <row r="223" spans="1:56" ht="15" customHeight="1">
      <c r="A223" s="53" t="s">
        <v>289</v>
      </c>
      <c r="B223" s="63" t="s">
        <v>486</v>
      </c>
      <c r="C223" s="24" t="s">
        <v>476</v>
      </c>
      <c r="D223" s="24" t="s">
        <v>298</v>
      </c>
      <c r="E223" s="177">
        <v>5907257.3099999996</v>
      </c>
      <c r="F223" s="33">
        <v>1757733.352</v>
      </c>
      <c r="G223" s="33" t="s">
        <v>392</v>
      </c>
      <c r="H223" s="24" t="s">
        <v>37</v>
      </c>
      <c r="I223" s="126">
        <v>115220386.375</v>
      </c>
      <c r="J223" s="33">
        <v>116522212</v>
      </c>
      <c r="K223" s="34">
        <v>0</v>
      </c>
      <c r="L223" s="33">
        <f t="shared" si="62"/>
        <v>0</v>
      </c>
      <c r="M223" s="34">
        <v>0</v>
      </c>
      <c r="N223" s="33">
        <f t="shared" si="63"/>
        <v>0</v>
      </c>
      <c r="O223" s="127">
        <v>1</v>
      </c>
      <c r="P223" s="33">
        <f t="shared" si="59"/>
        <v>115220386.375</v>
      </c>
      <c r="Q223" s="127">
        <v>0</v>
      </c>
      <c r="R223" s="33">
        <f t="shared" si="60"/>
        <v>0</v>
      </c>
      <c r="S223" s="34">
        <f t="shared" si="61"/>
        <v>1</v>
      </c>
      <c r="T223" s="34">
        <v>0.10730000000000001</v>
      </c>
      <c r="U223" s="33">
        <f>900000*365</f>
        <v>328500000</v>
      </c>
      <c r="V223" s="24" t="s">
        <v>269</v>
      </c>
      <c r="W223" s="54" t="s">
        <v>274</v>
      </c>
      <c r="X223" s="24" t="s">
        <v>269</v>
      </c>
      <c r="Y223" s="22"/>
      <c r="Z223" s="57">
        <v>2032</v>
      </c>
      <c r="AA223" s="71">
        <v>24812.520000000004</v>
      </c>
      <c r="AB223" s="33">
        <v>32062</v>
      </c>
      <c r="AC223" s="54"/>
      <c r="AD223" s="34">
        <v>0</v>
      </c>
      <c r="AE223" s="62">
        <f t="shared" si="64"/>
        <v>0</v>
      </c>
      <c r="AF223" s="34">
        <v>1</v>
      </c>
      <c r="AG223" s="33">
        <f t="shared" si="65"/>
        <v>24812.520000000004</v>
      </c>
      <c r="AH223" s="58">
        <v>0</v>
      </c>
      <c r="AI223" s="33">
        <f t="shared" si="66"/>
        <v>0</v>
      </c>
      <c r="AJ223" s="24"/>
      <c r="AK223" s="54">
        <f t="shared" si="67"/>
        <v>0</v>
      </c>
      <c r="AL223" s="34"/>
      <c r="AM223" s="59">
        <f t="shared" si="68"/>
        <v>0</v>
      </c>
      <c r="AN223" s="60"/>
      <c r="AO223" s="60"/>
      <c r="AP223" s="60"/>
      <c r="AQ223" s="60"/>
      <c r="AR223" s="60"/>
      <c r="AS223" s="60"/>
      <c r="AT223" s="60"/>
      <c r="AU223" s="60"/>
      <c r="AV223" s="49"/>
      <c r="AW223" s="49"/>
      <c r="AX223" s="49"/>
    </row>
    <row r="224" spans="1:56" ht="15" customHeight="1">
      <c r="A224" s="53" t="s">
        <v>289</v>
      </c>
      <c r="B224" s="63" t="s">
        <v>486</v>
      </c>
      <c r="C224" s="24" t="s">
        <v>476</v>
      </c>
      <c r="D224" s="24" t="s">
        <v>299</v>
      </c>
      <c r="E224" s="177">
        <v>5874120.1699999999</v>
      </c>
      <c r="F224" s="33">
        <v>1769799.1</v>
      </c>
      <c r="G224" s="65" t="s">
        <v>318</v>
      </c>
      <c r="H224" s="24" t="s">
        <v>37</v>
      </c>
      <c r="I224" s="126">
        <v>2693855</v>
      </c>
      <c r="J224" s="33">
        <v>2596108</v>
      </c>
      <c r="K224" s="127">
        <v>1</v>
      </c>
      <c r="L224" s="33">
        <f t="shared" si="62"/>
        <v>2693855</v>
      </c>
      <c r="M224" s="34">
        <v>0</v>
      </c>
      <c r="N224" s="33">
        <f t="shared" si="63"/>
        <v>0</v>
      </c>
      <c r="O224" s="34">
        <v>0</v>
      </c>
      <c r="P224" s="33">
        <f t="shared" si="59"/>
        <v>0</v>
      </c>
      <c r="Q224" s="34">
        <v>0</v>
      </c>
      <c r="R224" s="33">
        <f t="shared" si="60"/>
        <v>0</v>
      </c>
      <c r="S224" s="34">
        <f t="shared" si="61"/>
        <v>1</v>
      </c>
      <c r="T224" s="34">
        <v>8.2699999999999996E-2</v>
      </c>
      <c r="U224" s="33">
        <f>18000*365</f>
        <v>6570000</v>
      </c>
      <c r="V224" s="24"/>
      <c r="W224" s="54"/>
      <c r="X224" s="24" t="s">
        <v>279</v>
      </c>
      <c r="Y224" s="22"/>
      <c r="Z224" s="57">
        <v>2015</v>
      </c>
      <c r="AA224" s="71">
        <v>4380</v>
      </c>
      <c r="AB224" s="33">
        <v>4380</v>
      </c>
      <c r="AC224" s="54"/>
      <c r="AD224" s="34">
        <v>0</v>
      </c>
      <c r="AE224" s="62">
        <f t="shared" si="64"/>
        <v>0</v>
      </c>
      <c r="AF224" s="34">
        <v>0</v>
      </c>
      <c r="AG224" s="33">
        <f t="shared" si="65"/>
        <v>0</v>
      </c>
      <c r="AH224" s="58">
        <v>0</v>
      </c>
      <c r="AI224" s="33">
        <f t="shared" si="66"/>
        <v>0</v>
      </c>
      <c r="AJ224" s="24"/>
      <c r="AK224" s="54">
        <f t="shared" si="67"/>
        <v>0</v>
      </c>
      <c r="AL224" s="34"/>
      <c r="AM224" s="59">
        <f t="shared" si="68"/>
        <v>0</v>
      </c>
      <c r="AN224" s="60" t="s">
        <v>285</v>
      </c>
      <c r="AO224" s="60"/>
      <c r="AP224" s="60"/>
      <c r="AQ224" s="60"/>
      <c r="AR224" s="60"/>
      <c r="AS224" s="60"/>
      <c r="AT224" s="60"/>
      <c r="AU224" s="60"/>
      <c r="AV224" s="49"/>
      <c r="AW224" s="49"/>
      <c r="AX224" s="49"/>
    </row>
    <row r="225" spans="1:50" ht="15" customHeight="1">
      <c r="A225" s="53" t="s">
        <v>289</v>
      </c>
      <c r="B225" s="63" t="s">
        <v>486</v>
      </c>
      <c r="C225" s="24" t="s">
        <v>476</v>
      </c>
      <c r="D225" s="24" t="s">
        <v>319</v>
      </c>
      <c r="E225" s="177">
        <v>5912759.8839999996</v>
      </c>
      <c r="F225" s="33">
        <v>1780503.8529999999</v>
      </c>
      <c r="G225" s="65" t="s">
        <v>318</v>
      </c>
      <c r="H225" s="24" t="s">
        <v>37</v>
      </c>
      <c r="I225" s="126">
        <v>512223</v>
      </c>
      <c r="J225" s="33">
        <v>485838</v>
      </c>
      <c r="K225" s="127">
        <v>1</v>
      </c>
      <c r="L225" s="33">
        <f t="shared" si="62"/>
        <v>512223</v>
      </c>
      <c r="M225" s="34">
        <v>0</v>
      </c>
      <c r="N225" s="33">
        <f t="shared" si="63"/>
        <v>0</v>
      </c>
      <c r="O225" s="34">
        <v>0</v>
      </c>
      <c r="P225" s="33">
        <f t="shared" si="59"/>
        <v>0</v>
      </c>
      <c r="Q225" s="34">
        <v>0</v>
      </c>
      <c r="R225" s="33">
        <f t="shared" si="60"/>
        <v>0</v>
      </c>
      <c r="S225" s="34">
        <f t="shared" si="61"/>
        <v>1</v>
      </c>
      <c r="T225" s="34">
        <v>0</v>
      </c>
      <c r="U225" s="33">
        <f>2800*365</f>
        <v>1022000</v>
      </c>
      <c r="V225" s="24" t="s">
        <v>270</v>
      </c>
      <c r="W225" s="54"/>
      <c r="X225" s="24" t="s">
        <v>280</v>
      </c>
      <c r="Y225" s="22"/>
      <c r="Z225" s="57">
        <v>2025</v>
      </c>
      <c r="AA225" s="71">
        <v>42</v>
      </c>
      <c r="AB225" s="33">
        <v>84</v>
      </c>
      <c r="AC225" s="54"/>
      <c r="AD225" s="34">
        <v>0</v>
      </c>
      <c r="AE225" s="62">
        <f t="shared" si="64"/>
        <v>0</v>
      </c>
      <c r="AF225" s="34">
        <v>1</v>
      </c>
      <c r="AG225" s="33">
        <f t="shared" si="65"/>
        <v>42</v>
      </c>
      <c r="AH225" s="58">
        <v>0</v>
      </c>
      <c r="AI225" s="33">
        <f t="shared" si="66"/>
        <v>0</v>
      </c>
      <c r="AJ225" s="24"/>
      <c r="AK225" s="54">
        <f t="shared" si="67"/>
        <v>0</v>
      </c>
      <c r="AL225" s="34"/>
      <c r="AM225" s="59">
        <f t="shared" si="68"/>
        <v>0</v>
      </c>
      <c r="AN225" s="60"/>
      <c r="AO225" s="60"/>
      <c r="AP225" s="60"/>
      <c r="AQ225" s="60"/>
      <c r="AR225" s="60"/>
      <c r="AS225" s="60"/>
      <c r="AT225" s="60"/>
      <c r="AU225" s="60"/>
      <c r="AV225" s="49"/>
      <c r="AW225" s="49"/>
      <c r="AX225" s="49"/>
    </row>
    <row r="226" spans="1:50" ht="15" customHeight="1">
      <c r="A226" s="53" t="s">
        <v>289</v>
      </c>
      <c r="B226" s="63" t="s">
        <v>486</v>
      </c>
      <c r="C226" s="24" t="s">
        <v>476</v>
      </c>
      <c r="D226" s="24" t="s">
        <v>300</v>
      </c>
      <c r="E226" s="185">
        <v>5879028.2000000002</v>
      </c>
      <c r="F226" s="33">
        <v>1753381.67</v>
      </c>
      <c r="G226" s="65" t="s">
        <v>318</v>
      </c>
      <c r="H226" s="24" t="s">
        <v>37</v>
      </c>
      <c r="I226" s="126">
        <v>739792</v>
      </c>
      <c r="J226" s="33">
        <v>750736</v>
      </c>
      <c r="K226" s="127">
        <v>1</v>
      </c>
      <c r="L226" s="33">
        <f t="shared" si="62"/>
        <v>739792</v>
      </c>
      <c r="M226" s="34">
        <v>0</v>
      </c>
      <c r="N226" s="33">
        <f t="shared" si="63"/>
        <v>0</v>
      </c>
      <c r="O226" s="34">
        <v>0</v>
      </c>
      <c r="P226" s="33">
        <f t="shared" si="59"/>
        <v>0</v>
      </c>
      <c r="Q226" s="34">
        <v>0</v>
      </c>
      <c r="R226" s="33">
        <f t="shared" si="60"/>
        <v>0</v>
      </c>
      <c r="S226" s="34">
        <f t="shared" si="61"/>
        <v>1</v>
      </c>
      <c r="T226" s="34">
        <v>6.4899999999999999E-2</v>
      </c>
      <c r="U226" s="33">
        <f>5000*365</f>
        <v>1825000</v>
      </c>
      <c r="V226" s="24" t="s">
        <v>271</v>
      </c>
      <c r="W226" s="54"/>
      <c r="X226" s="24" t="s">
        <v>271</v>
      </c>
      <c r="Y226" s="22"/>
      <c r="Z226" s="57">
        <v>2019</v>
      </c>
      <c r="AA226" s="33"/>
      <c r="AB226" s="33">
        <v>0</v>
      </c>
      <c r="AC226" s="54"/>
      <c r="AD226" s="34"/>
      <c r="AE226" s="62">
        <f t="shared" si="64"/>
        <v>0</v>
      </c>
      <c r="AF226" s="34"/>
      <c r="AG226" s="33">
        <f t="shared" si="65"/>
        <v>0</v>
      </c>
      <c r="AH226" s="58"/>
      <c r="AI226" s="33">
        <f t="shared" si="66"/>
        <v>0</v>
      </c>
      <c r="AJ226" s="24"/>
      <c r="AK226" s="54">
        <f t="shared" si="67"/>
        <v>0</v>
      </c>
      <c r="AL226" s="34"/>
      <c r="AM226" s="59">
        <f t="shared" si="68"/>
        <v>0</v>
      </c>
      <c r="AN226" s="60"/>
      <c r="AO226" s="60"/>
      <c r="AP226" s="60"/>
      <c r="AQ226" s="60"/>
      <c r="AR226" s="60"/>
      <c r="AS226" s="60"/>
      <c r="AT226" s="60"/>
      <c r="AU226" s="60"/>
      <c r="AV226" s="49"/>
      <c r="AW226" s="49"/>
      <c r="AX226" s="49"/>
    </row>
    <row r="227" spans="1:50" ht="15" customHeight="1">
      <c r="A227" s="53" t="s">
        <v>289</v>
      </c>
      <c r="B227" s="63" t="s">
        <v>486</v>
      </c>
      <c r="C227" s="24" t="s">
        <v>476</v>
      </c>
      <c r="D227" s="24" t="s">
        <v>301</v>
      </c>
      <c r="E227" s="185">
        <v>5888024.0499999998</v>
      </c>
      <c r="F227" s="33">
        <v>1750762.29</v>
      </c>
      <c r="G227" s="65" t="s">
        <v>318</v>
      </c>
      <c r="H227" s="24" t="s">
        <v>37</v>
      </c>
      <c r="I227" s="126">
        <v>175163</v>
      </c>
      <c r="J227" s="33">
        <v>186624</v>
      </c>
      <c r="K227" s="127">
        <v>1</v>
      </c>
      <c r="L227" s="33">
        <f t="shared" si="62"/>
        <v>175163</v>
      </c>
      <c r="M227" s="34">
        <v>0</v>
      </c>
      <c r="N227" s="33">
        <f t="shared" si="63"/>
        <v>0</v>
      </c>
      <c r="O227" s="34">
        <v>0</v>
      </c>
      <c r="P227" s="33">
        <f t="shared" si="59"/>
        <v>0</v>
      </c>
      <c r="Q227" s="34">
        <v>0</v>
      </c>
      <c r="R227" s="33">
        <f t="shared" si="60"/>
        <v>0</v>
      </c>
      <c r="S227" s="34">
        <f t="shared" si="61"/>
        <v>1</v>
      </c>
      <c r="T227" s="34">
        <v>0</v>
      </c>
      <c r="U227" s="33">
        <f>800*365</f>
        <v>292000</v>
      </c>
      <c r="V227" s="24"/>
      <c r="W227" s="54"/>
      <c r="X227" s="24" t="s">
        <v>281</v>
      </c>
      <c r="Y227" s="22"/>
      <c r="Z227" s="57">
        <v>2100</v>
      </c>
      <c r="AA227" s="33"/>
      <c r="AB227" s="33">
        <v>0</v>
      </c>
      <c r="AC227" s="54"/>
      <c r="AD227" s="34"/>
      <c r="AE227" s="62">
        <f t="shared" si="64"/>
        <v>0</v>
      </c>
      <c r="AF227" s="34"/>
      <c r="AG227" s="33">
        <f t="shared" si="65"/>
        <v>0</v>
      </c>
      <c r="AH227" s="58"/>
      <c r="AI227" s="33">
        <f t="shared" si="66"/>
        <v>0</v>
      </c>
      <c r="AJ227" s="24"/>
      <c r="AK227" s="54">
        <f t="shared" si="67"/>
        <v>0</v>
      </c>
      <c r="AL227" s="34"/>
      <c r="AM227" s="59">
        <f t="shared" si="68"/>
        <v>0</v>
      </c>
      <c r="AN227" s="60"/>
      <c r="AO227" s="60"/>
      <c r="AP227" s="60"/>
      <c r="AQ227" s="60"/>
      <c r="AR227" s="60"/>
      <c r="AS227" s="60"/>
      <c r="AT227" s="60"/>
      <c r="AU227" s="60"/>
      <c r="AV227" s="49"/>
      <c r="AW227" s="49"/>
      <c r="AX227" s="49"/>
    </row>
    <row r="228" spans="1:50" ht="15" customHeight="1">
      <c r="A228" s="53" t="s">
        <v>289</v>
      </c>
      <c r="B228" s="63" t="s">
        <v>486</v>
      </c>
      <c r="C228" s="24" t="s">
        <v>476</v>
      </c>
      <c r="D228" s="24" t="s">
        <v>302</v>
      </c>
      <c r="E228" s="185">
        <v>5927764.5499999998</v>
      </c>
      <c r="F228" s="33">
        <v>1778490.68</v>
      </c>
      <c r="G228" s="65" t="s">
        <v>318</v>
      </c>
      <c r="H228" s="24" t="s">
        <v>37</v>
      </c>
      <c r="I228" s="126">
        <v>9454</v>
      </c>
      <c r="J228" s="33">
        <v>7979</v>
      </c>
      <c r="K228" s="127">
        <v>0</v>
      </c>
      <c r="L228" s="33">
        <f t="shared" si="62"/>
        <v>0</v>
      </c>
      <c r="M228" s="34">
        <v>0</v>
      </c>
      <c r="N228" s="33">
        <f t="shared" si="63"/>
        <v>0</v>
      </c>
      <c r="O228" s="34">
        <v>1</v>
      </c>
      <c r="P228" s="33">
        <f t="shared" si="59"/>
        <v>9454</v>
      </c>
      <c r="Q228" s="34">
        <v>0</v>
      </c>
      <c r="R228" s="33">
        <f t="shared" si="60"/>
        <v>0</v>
      </c>
      <c r="S228" s="34">
        <f t="shared" si="61"/>
        <v>1</v>
      </c>
      <c r="T228" s="34">
        <v>0</v>
      </c>
      <c r="U228" s="33">
        <f>80*365</f>
        <v>29200</v>
      </c>
      <c r="V228" s="24" t="s">
        <v>272</v>
      </c>
      <c r="W228" s="54"/>
      <c r="X228" s="24" t="s">
        <v>282</v>
      </c>
      <c r="Y228" s="22"/>
      <c r="Z228" s="57">
        <v>2027</v>
      </c>
      <c r="AA228" s="33">
        <v>1</v>
      </c>
      <c r="AB228" s="33">
        <v>1</v>
      </c>
      <c r="AC228" s="54"/>
      <c r="AD228" s="34">
        <v>0</v>
      </c>
      <c r="AE228" s="62">
        <f t="shared" si="64"/>
        <v>0</v>
      </c>
      <c r="AF228" s="34">
        <v>0</v>
      </c>
      <c r="AG228" s="33">
        <f t="shared" si="65"/>
        <v>0</v>
      </c>
      <c r="AH228" s="58">
        <v>0</v>
      </c>
      <c r="AI228" s="33">
        <f t="shared" si="66"/>
        <v>0</v>
      </c>
      <c r="AJ228" s="74">
        <v>1</v>
      </c>
      <c r="AK228" s="54">
        <f t="shared" si="67"/>
        <v>1</v>
      </c>
      <c r="AL228" s="34"/>
      <c r="AM228" s="59">
        <f t="shared" si="68"/>
        <v>0</v>
      </c>
      <c r="AN228" s="22" t="s">
        <v>286</v>
      </c>
      <c r="AO228" s="60"/>
      <c r="AP228" s="60"/>
      <c r="AQ228" s="60"/>
      <c r="AR228" s="60"/>
      <c r="AS228" s="60"/>
      <c r="AT228" s="60"/>
      <c r="AU228" s="60"/>
      <c r="AV228" s="49"/>
      <c r="AW228" s="49"/>
      <c r="AX228" s="49"/>
    </row>
    <row r="229" spans="1:50" ht="15" customHeight="1">
      <c r="A229" s="53" t="s">
        <v>289</v>
      </c>
      <c r="B229" s="63" t="s">
        <v>486</v>
      </c>
      <c r="C229" s="24" t="s">
        <v>476</v>
      </c>
      <c r="D229" s="24" t="s">
        <v>303</v>
      </c>
      <c r="E229" s="185">
        <v>5890114.2599999998</v>
      </c>
      <c r="F229" s="33">
        <v>1759387.72</v>
      </c>
      <c r="G229" s="65" t="s">
        <v>378</v>
      </c>
      <c r="H229" s="24" t="s">
        <v>37</v>
      </c>
      <c r="I229" s="126">
        <v>11846</v>
      </c>
      <c r="J229" s="33">
        <v>8660</v>
      </c>
      <c r="K229" s="127">
        <v>1</v>
      </c>
      <c r="L229" s="33">
        <f t="shared" si="62"/>
        <v>11846</v>
      </c>
      <c r="M229" s="34">
        <v>0</v>
      </c>
      <c r="N229" s="33">
        <f t="shared" si="63"/>
        <v>0</v>
      </c>
      <c r="O229" s="34">
        <v>0</v>
      </c>
      <c r="P229" s="33">
        <f t="shared" si="59"/>
        <v>0</v>
      </c>
      <c r="Q229" s="34">
        <v>0</v>
      </c>
      <c r="R229" s="33">
        <f t="shared" si="60"/>
        <v>0</v>
      </c>
      <c r="S229" s="34">
        <f t="shared" si="61"/>
        <v>1</v>
      </c>
      <c r="T229" s="34">
        <v>0</v>
      </c>
      <c r="U229" s="33">
        <f>45*365</f>
        <v>16425</v>
      </c>
      <c r="V229" s="24"/>
      <c r="W229" s="54"/>
      <c r="X229" s="24" t="s">
        <v>283</v>
      </c>
      <c r="Y229" s="22"/>
      <c r="Z229" s="57">
        <v>2022</v>
      </c>
      <c r="AA229" s="33">
        <v>4</v>
      </c>
      <c r="AB229" s="33">
        <v>4</v>
      </c>
      <c r="AC229" s="54"/>
      <c r="AD229" s="34">
        <v>0</v>
      </c>
      <c r="AE229" s="62">
        <f t="shared" si="64"/>
        <v>0</v>
      </c>
      <c r="AF229" s="34">
        <v>0</v>
      </c>
      <c r="AG229" s="33">
        <f t="shared" si="65"/>
        <v>0</v>
      </c>
      <c r="AH229" s="58">
        <v>0</v>
      </c>
      <c r="AI229" s="33">
        <f t="shared" si="66"/>
        <v>0</v>
      </c>
      <c r="AJ229" s="74">
        <v>1</v>
      </c>
      <c r="AK229" s="54">
        <f t="shared" si="67"/>
        <v>4</v>
      </c>
      <c r="AL229" s="34"/>
      <c r="AM229" s="59">
        <f>AA229*AL129</f>
        <v>0</v>
      </c>
      <c r="AN229" s="22" t="s">
        <v>287</v>
      </c>
      <c r="AO229" s="60"/>
      <c r="AP229" s="60"/>
      <c r="AQ229" s="60"/>
      <c r="AR229" s="60"/>
      <c r="AS229" s="60"/>
      <c r="AT229" s="60"/>
      <c r="AU229" s="60"/>
      <c r="AV229" s="49"/>
      <c r="AW229" s="49"/>
      <c r="AX229" s="49"/>
    </row>
    <row r="230" spans="1:50" ht="15" customHeight="1">
      <c r="A230" s="53" t="s">
        <v>289</v>
      </c>
      <c r="B230" s="63" t="s">
        <v>486</v>
      </c>
      <c r="C230" s="24" t="s">
        <v>476</v>
      </c>
      <c r="D230" s="24" t="s">
        <v>304</v>
      </c>
      <c r="E230" s="185">
        <v>5882189.9699999997</v>
      </c>
      <c r="F230" s="33">
        <v>1777551.4</v>
      </c>
      <c r="G230" s="65" t="s">
        <v>318</v>
      </c>
      <c r="H230" s="24" t="s">
        <v>53</v>
      </c>
      <c r="I230" s="126">
        <v>1465</v>
      </c>
      <c r="J230" s="33">
        <v>1365</v>
      </c>
      <c r="K230" s="34">
        <v>0</v>
      </c>
      <c r="L230" s="33">
        <f t="shared" si="62"/>
        <v>0</v>
      </c>
      <c r="M230" s="127">
        <v>1</v>
      </c>
      <c r="N230" s="33">
        <f t="shared" si="63"/>
        <v>1465</v>
      </c>
      <c r="O230" s="34">
        <v>0</v>
      </c>
      <c r="P230" s="33">
        <f t="shared" si="59"/>
        <v>0</v>
      </c>
      <c r="Q230" s="34">
        <v>0</v>
      </c>
      <c r="R230" s="33">
        <f t="shared" si="60"/>
        <v>0</v>
      </c>
      <c r="S230" s="34">
        <f t="shared" si="61"/>
        <v>1</v>
      </c>
      <c r="T230" s="34">
        <v>0</v>
      </c>
      <c r="U230" s="33">
        <f>28*365</f>
        <v>10220</v>
      </c>
      <c r="V230" s="24"/>
      <c r="W230" s="54"/>
      <c r="X230" s="24" t="s">
        <v>284</v>
      </c>
      <c r="Y230" s="22"/>
      <c r="Z230" s="57">
        <v>2029</v>
      </c>
      <c r="AA230" s="33"/>
      <c r="AB230" s="33">
        <v>0</v>
      </c>
      <c r="AC230" s="54"/>
      <c r="AD230" s="34"/>
      <c r="AE230" s="62">
        <f t="shared" si="64"/>
        <v>0</v>
      </c>
      <c r="AF230" s="34"/>
      <c r="AG230" s="33">
        <f t="shared" si="65"/>
        <v>0</v>
      </c>
      <c r="AH230" s="58"/>
      <c r="AI230" s="33">
        <f t="shared" si="66"/>
        <v>0</v>
      </c>
      <c r="AJ230" s="24"/>
      <c r="AK230" s="54">
        <f t="shared" si="67"/>
        <v>0</v>
      </c>
      <c r="AL230" s="34"/>
      <c r="AM230" s="59">
        <f t="shared" ref="AM230:AM246" si="69">AA230*AL230</f>
        <v>0</v>
      </c>
      <c r="AN230" s="60"/>
      <c r="AO230" s="60"/>
      <c r="AP230" s="60"/>
      <c r="AQ230" s="60"/>
      <c r="AR230" s="60"/>
      <c r="AS230" s="60"/>
      <c r="AT230" s="60"/>
      <c r="AU230" s="60"/>
      <c r="AV230" s="49"/>
      <c r="AW230" s="49"/>
      <c r="AX230" s="15"/>
    </row>
    <row r="231" spans="1:50" ht="15" customHeight="1">
      <c r="A231" s="53" t="s">
        <v>289</v>
      </c>
      <c r="B231" s="63" t="s">
        <v>486</v>
      </c>
      <c r="C231" s="24" t="s">
        <v>476</v>
      </c>
      <c r="D231" s="24" t="s">
        <v>305</v>
      </c>
      <c r="E231" s="177">
        <v>5907305.5300000003</v>
      </c>
      <c r="F231" s="33">
        <v>1793432.74</v>
      </c>
      <c r="G231" s="33" t="s">
        <v>392</v>
      </c>
      <c r="H231" s="24" t="s">
        <v>54</v>
      </c>
      <c r="I231" s="126">
        <v>20261</v>
      </c>
      <c r="J231" s="33">
        <v>20504</v>
      </c>
      <c r="K231" s="34">
        <v>0</v>
      </c>
      <c r="L231" s="33">
        <f t="shared" si="62"/>
        <v>0</v>
      </c>
      <c r="M231" s="127">
        <v>1</v>
      </c>
      <c r="N231" s="33">
        <f t="shared" si="63"/>
        <v>20261</v>
      </c>
      <c r="O231" s="34">
        <v>0</v>
      </c>
      <c r="P231" s="33">
        <f t="shared" si="59"/>
        <v>0</v>
      </c>
      <c r="Q231" s="34">
        <v>0</v>
      </c>
      <c r="R231" s="33">
        <f t="shared" si="60"/>
        <v>0</v>
      </c>
      <c r="S231" s="34">
        <f t="shared" si="61"/>
        <v>1</v>
      </c>
      <c r="T231" s="34">
        <v>0</v>
      </c>
      <c r="U231" s="33">
        <f>80*365</f>
        <v>29200</v>
      </c>
      <c r="V231" s="24" t="s">
        <v>273</v>
      </c>
      <c r="W231" s="54"/>
      <c r="X231" s="24" t="s">
        <v>273</v>
      </c>
      <c r="Y231" s="22"/>
      <c r="Z231" s="57">
        <v>2042</v>
      </c>
      <c r="AA231" s="33">
        <v>11</v>
      </c>
      <c r="AB231" s="33">
        <v>11</v>
      </c>
      <c r="AC231" s="54"/>
      <c r="AD231" s="34">
        <v>0</v>
      </c>
      <c r="AE231" s="62">
        <f t="shared" si="64"/>
        <v>0</v>
      </c>
      <c r="AF231" s="34">
        <v>0</v>
      </c>
      <c r="AG231" s="33">
        <f t="shared" si="65"/>
        <v>0</v>
      </c>
      <c r="AH231" s="58">
        <v>0</v>
      </c>
      <c r="AI231" s="33">
        <f t="shared" si="66"/>
        <v>0</v>
      </c>
      <c r="AJ231" s="74">
        <v>1</v>
      </c>
      <c r="AK231" s="54">
        <f t="shared" si="67"/>
        <v>11</v>
      </c>
      <c r="AL231" s="34"/>
      <c r="AM231" s="59">
        <f t="shared" si="69"/>
        <v>0</v>
      </c>
      <c r="AN231" s="22" t="s">
        <v>288</v>
      </c>
      <c r="AO231" s="67"/>
      <c r="AP231" s="60"/>
      <c r="AQ231" s="60"/>
      <c r="AR231" s="60"/>
      <c r="AS231" s="60"/>
      <c r="AT231" s="60"/>
      <c r="AU231" s="60"/>
      <c r="AV231" s="15"/>
      <c r="AW231" s="49"/>
      <c r="AX231" s="49"/>
    </row>
    <row r="232" spans="1:50" ht="15" customHeight="1">
      <c r="A232" s="53" t="s">
        <v>308</v>
      </c>
      <c r="B232" s="63" t="s">
        <v>383</v>
      </c>
      <c r="C232" s="24" t="s">
        <v>476</v>
      </c>
      <c r="D232" s="24" t="s">
        <v>306</v>
      </c>
      <c r="E232" s="186">
        <v>5422354.2434</v>
      </c>
      <c r="F232" s="39">
        <v>1751577.8473</v>
      </c>
      <c r="G232" s="65" t="s">
        <v>408</v>
      </c>
      <c r="H232" s="24" t="s">
        <v>37</v>
      </c>
      <c r="I232" s="131">
        <v>23193375</v>
      </c>
      <c r="J232" s="33">
        <v>24356532</v>
      </c>
      <c r="K232" s="34">
        <v>0</v>
      </c>
      <c r="L232" s="33">
        <f t="shared" si="62"/>
        <v>0</v>
      </c>
      <c r="M232" s="34">
        <v>0</v>
      </c>
      <c r="N232" s="33">
        <f t="shared" si="63"/>
        <v>0</v>
      </c>
      <c r="O232" s="34">
        <v>0</v>
      </c>
      <c r="P232" s="33">
        <f t="shared" si="59"/>
        <v>0</v>
      </c>
      <c r="Q232" s="34">
        <v>1</v>
      </c>
      <c r="R232" s="33">
        <f t="shared" si="60"/>
        <v>23193375</v>
      </c>
      <c r="S232" s="34">
        <f t="shared" si="61"/>
        <v>1</v>
      </c>
      <c r="T232" s="34">
        <v>0.1</v>
      </c>
      <c r="U232" s="39">
        <v>31536000</v>
      </c>
      <c r="V232" s="40">
        <v>49075</v>
      </c>
      <c r="W232" s="150">
        <v>46187</v>
      </c>
      <c r="X232" s="40">
        <v>49075</v>
      </c>
      <c r="Y232" s="22" t="s">
        <v>424</v>
      </c>
      <c r="Z232" s="57">
        <v>2026</v>
      </c>
      <c r="AA232" s="39">
        <v>2774</v>
      </c>
      <c r="AB232" s="33">
        <v>3940</v>
      </c>
      <c r="AC232" s="54"/>
      <c r="AD232" s="34">
        <v>0</v>
      </c>
      <c r="AE232" s="62">
        <f t="shared" si="64"/>
        <v>0</v>
      </c>
      <c r="AF232" s="34">
        <v>1</v>
      </c>
      <c r="AG232" s="33">
        <f t="shared" si="65"/>
        <v>2774</v>
      </c>
      <c r="AH232" s="58">
        <v>0</v>
      </c>
      <c r="AI232" s="33">
        <f t="shared" si="66"/>
        <v>0</v>
      </c>
      <c r="AJ232" s="24"/>
      <c r="AK232" s="54">
        <f t="shared" si="67"/>
        <v>0</v>
      </c>
      <c r="AL232" s="34">
        <v>0</v>
      </c>
      <c r="AM232" s="59">
        <f t="shared" si="69"/>
        <v>0</v>
      </c>
      <c r="AN232" s="60"/>
      <c r="AO232" s="60"/>
      <c r="AP232" s="60"/>
      <c r="AQ232" s="60"/>
      <c r="AR232" s="60"/>
      <c r="AS232" s="60"/>
      <c r="AT232" s="60"/>
      <c r="AU232" s="60"/>
      <c r="AV232" s="49"/>
      <c r="AW232" s="49"/>
      <c r="AX232" s="49"/>
    </row>
    <row r="233" spans="1:50" ht="15" customHeight="1">
      <c r="A233" s="53" t="s">
        <v>308</v>
      </c>
      <c r="B233" s="63" t="s">
        <v>383</v>
      </c>
      <c r="C233" s="24" t="s">
        <v>476</v>
      </c>
      <c r="D233" s="24" t="s">
        <v>307</v>
      </c>
      <c r="E233" s="186">
        <v>5425522.0724999998</v>
      </c>
      <c r="F233" s="39">
        <v>1742280.5559</v>
      </c>
      <c r="G233" s="65" t="s">
        <v>408</v>
      </c>
      <c r="H233" s="24" t="s">
        <v>37</v>
      </c>
      <c r="I233" s="131">
        <v>1333856.5</v>
      </c>
      <c r="J233" s="33">
        <v>159863</v>
      </c>
      <c r="K233" s="34">
        <v>0</v>
      </c>
      <c r="L233" s="33">
        <f t="shared" si="62"/>
        <v>0</v>
      </c>
      <c r="M233" s="34">
        <v>0</v>
      </c>
      <c r="N233" s="33">
        <f t="shared" si="63"/>
        <v>0</v>
      </c>
      <c r="O233" s="34">
        <v>0</v>
      </c>
      <c r="P233" s="33">
        <f t="shared" si="59"/>
        <v>0</v>
      </c>
      <c r="Q233" s="34">
        <v>1</v>
      </c>
      <c r="R233" s="33">
        <f t="shared" si="60"/>
        <v>1333856.5</v>
      </c>
      <c r="S233" s="34">
        <f t="shared" si="61"/>
        <v>1</v>
      </c>
      <c r="T233" s="34">
        <v>0.01</v>
      </c>
      <c r="U233" s="39">
        <v>6307200</v>
      </c>
      <c r="V233" s="40">
        <v>49488</v>
      </c>
      <c r="W233" s="150">
        <v>46187</v>
      </c>
      <c r="X233" s="40">
        <v>49488</v>
      </c>
      <c r="Y233" s="22" t="s">
        <v>424</v>
      </c>
      <c r="Z233" s="57">
        <v>2026</v>
      </c>
      <c r="AA233" s="39">
        <v>194</v>
      </c>
      <c r="AB233" s="33">
        <v>192</v>
      </c>
      <c r="AC233" s="54"/>
      <c r="AD233" s="34">
        <v>0</v>
      </c>
      <c r="AE233" s="62">
        <f t="shared" si="64"/>
        <v>0</v>
      </c>
      <c r="AF233" s="34">
        <v>1</v>
      </c>
      <c r="AG233" s="33">
        <f t="shared" si="65"/>
        <v>194</v>
      </c>
      <c r="AH233" s="58">
        <v>0</v>
      </c>
      <c r="AI233" s="33">
        <f t="shared" si="66"/>
        <v>0</v>
      </c>
      <c r="AJ233" s="24"/>
      <c r="AK233" s="54">
        <f t="shared" si="67"/>
        <v>0</v>
      </c>
      <c r="AL233" s="34">
        <v>0</v>
      </c>
      <c r="AM233" s="59">
        <f t="shared" si="69"/>
        <v>0</v>
      </c>
      <c r="AN233" s="60"/>
      <c r="AO233" s="60"/>
      <c r="AP233" s="60"/>
      <c r="AQ233" s="60"/>
      <c r="AR233" s="60"/>
      <c r="AS233" s="60"/>
      <c r="AT233" s="60"/>
      <c r="AU233" s="60"/>
      <c r="AV233" s="49"/>
      <c r="AW233" s="49"/>
      <c r="AX233" s="49"/>
    </row>
    <row r="234" spans="1:50" ht="15" customHeight="1">
      <c r="A234" s="55" t="s">
        <v>43</v>
      </c>
      <c r="B234" s="63" t="s">
        <v>383</v>
      </c>
      <c r="C234" s="24" t="s">
        <v>476</v>
      </c>
      <c r="D234" s="24" t="s">
        <v>33</v>
      </c>
      <c r="E234" s="176">
        <v>5853635</v>
      </c>
      <c r="F234" s="27">
        <v>1859994</v>
      </c>
      <c r="G234" s="65" t="s">
        <v>408</v>
      </c>
      <c r="H234" s="24" t="s">
        <v>37</v>
      </c>
      <c r="I234" s="21">
        <v>461667</v>
      </c>
      <c r="J234" s="33">
        <v>326049</v>
      </c>
      <c r="K234" s="34"/>
      <c r="L234" s="33">
        <f t="shared" si="62"/>
        <v>0</v>
      </c>
      <c r="M234" s="34">
        <v>1</v>
      </c>
      <c r="N234" s="33">
        <f t="shared" si="63"/>
        <v>461667</v>
      </c>
      <c r="O234" s="34"/>
      <c r="P234" s="33">
        <f t="shared" si="59"/>
        <v>0</v>
      </c>
      <c r="Q234" s="34"/>
      <c r="R234" s="33">
        <f t="shared" si="60"/>
        <v>0</v>
      </c>
      <c r="S234" s="34">
        <f t="shared" si="61"/>
        <v>1</v>
      </c>
      <c r="T234" s="34">
        <v>0</v>
      </c>
      <c r="U234" s="33">
        <v>1450145</v>
      </c>
      <c r="V234" s="35">
        <v>42491</v>
      </c>
      <c r="W234" s="143">
        <v>45809</v>
      </c>
      <c r="X234" s="35">
        <v>53813</v>
      </c>
      <c r="Y234" s="81" t="s">
        <v>424</v>
      </c>
      <c r="Z234" s="57">
        <v>2016</v>
      </c>
      <c r="AA234" s="33"/>
      <c r="AB234" s="33"/>
      <c r="AC234" s="54"/>
      <c r="AD234" s="34">
        <v>0</v>
      </c>
      <c r="AE234" s="62">
        <f t="shared" si="64"/>
        <v>0</v>
      </c>
      <c r="AF234" s="34">
        <v>0</v>
      </c>
      <c r="AG234" s="33">
        <f t="shared" si="65"/>
        <v>0</v>
      </c>
      <c r="AH234" s="58">
        <v>1</v>
      </c>
      <c r="AI234" s="33">
        <f t="shared" si="66"/>
        <v>0</v>
      </c>
      <c r="AJ234" s="24"/>
      <c r="AK234" s="54"/>
      <c r="AL234" s="34"/>
      <c r="AM234" s="59">
        <f t="shared" si="69"/>
        <v>0</v>
      </c>
      <c r="AN234" s="22" t="s">
        <v>40</v>
      </c>
      <c r="AO234" s="60"/>
      <c r="AP234" s="60"/>
      <c r="AQ234" s="60"/>
      <c r="AR234" s="60"/>
      <c r="AS234" s="60"/>
      <c r="AT234" s="60"/>
      <c r="AU234" s="60"/>
      <c r="AV234" s="49"/>
      <c r="AW234" s="49"/>
      <c r="AX234" s="49"/>
    </row>
    <row r="235" spans="1:50">
      <c r="A235" s="55" t="s">
        <v>43</v>
      </c>
      <c r="B235" s="63" t="s">
        <v>383</v>
      </c>
      <c r="C235" s="24" t="s">
        <v>476</v>
      </c>
      <c r="D235" s="24" t="s">
        <v>34</v>
      </c>
      <c r="E235" s="176">
        <v>5839236</v>
      </c>
      <c r="F235" s="27">
        <v>1859226</v>
      </c>
      <c r="G235" s="65" t="s">
        <v>408</v>
      </c>
      <c r="H235" s="24" t="s">
        <v>37</v>
      </c>
      <c r="I235" s="21">
        <v>425992</v>
      </c>
      <c r="J235" s="33">
        <v>375725</v>
      </c>
      <c r="K235" s="34"/>
      <c r="L235" s="33">
        <f t="shared" si="62"/>
        <v>0</v>
      </c>
      <c r="M235" s="34"/>
      <c r="N235" s="33">
        <f t="shared" si="63"/>
        <v>0</v>
      </c>
      <c r="O235" s="34"/>
      <c r="P235" s="33">
        <f t="shared" si="59"/>
        <v>0</v>
      </c>
      <c r="Q235" s="34">
        <v>1</v>
      </c>
      <c r="R235" s="33">
        <f t="shared" si="60"/>
        <v>425992</v>
      </c>
      <c r="S235" s="34">
        <f t="shared" si="61"/>
        <v>1</v>
      </c>
      <c r="T235" s="34">
        <v>0</v>
      </c>
      <c r="U235" s="33">
        <v>481800</v>
      </c>
      <c r="V235" s="35">
        <v>42675</v>
      </c>
      <c r="W235" s="143"/>
      <c r="X235" s="35">
        <v>42675</v>
      </c>
      <c r="Y235" s="81" t="s">
        <v>436</v>
      </c>
      <c r="Z235" s="57">
        <v>2016</v>
      </c>
      <c r="AA235" s="33"/>
      <c r="AB235" s="33"/>
      <c r="AC235" s="54"/>
      <c r="AD235" s="34">
        <v>1</v>
      </c>
      <c r="AE235" s="62">
        <f t="shared" si="64"/>
        <v>0</v>
      </c>
      <c r="AF235" s="34">
        <v>0</v>
      </c>
      <c r="AG235" s="33">
        <f t="shared" si="65"/>
        <v>0</v>
      </c>
      <c r="AH235" s="58">
        <v>0</v>
      </c>
      <c r="AI235" s="33">
        <f t="shared" si="66"/>
        <v>0</v>
      </c>
      <c r="AJ235" s="24"/>
      <c r="AK235" s="54"/>
      <c r="AL235" s="34"/>
      <c r="AM235" s="59">
        <f t="shared" si="69"/>
        <v>0</v>
      </c>
      <c r="AN235" s="22" t="s">
        <v>41</v>
      </c>
      <c r="AO235" s="60"/>
      <c r="AP235" s="60"/>
      <c r="AQ235" s="60"/>
      <c r="AR235" s="60"/>
      <c r="AS235" s="60"/>
      <c r="AT235" s="60"/>
      <c r="AU235" s="60"/>
      <c r="AV235" s="49"/>
      <c r="AW235" s="49"/>
      <c r="AX235" s="49"/>
    </row>
    <row r="236" spans="1:50">
      <c r="A236" s="55" t="s">
        <v>43</v>
      </c>
      <c r="B236" s="63" t="s">
        <v>383</v>
      </c>
      <c r="C236" s="24" t="s">
        <v>476</v>
      </c>
      <c r="D236" s="24" t="s">
        <v>35</v>
      </c>
      <c r="E236" s="176">
        <v>5813067</v>
      </c>
      <c r="F236" s="27">
        <v>1893894</v>
      </c>
      <c r="G236" s="65" t="s">
        <v>408</v>
      </c>
      <c r="H236" s="24" t="s">
        <v>37</v>
      </c>
      <c r="I236" s="21">
        <v>653489</v>
      </c>
      <c r="J236" s="33">
        <v>526916</v>
      </c>
      <c r="K236" s="34">
        <v>1</v>
      </c>
      <c r="L236" s="33">
        <f t="shared" si="62"/>
        <v>653489</v>
      </c>
      <c r="M236" s="34"/>
      <c r="N236" s="33">
        <f t="shared" si="63"/>
        <v>0</v>
      </c>
      <c r="O236" s="34"/>
      <c r="P236" s="33">
        <f t="shared" si="59"/>
        <v>0</v>
      </c>
      <c r="Q236" s="34"/>
      <c r="R236" s="33">
        <f t="shared" si="60"/>
        <v>0</v>
      </c>
      <c r="S236" s="34">
        <f t="shared" si="61"/>
        <v>1</v>
      </c>
      <c r="T236" s="34">
        <v>0</v>
      </c>
      <c r="U236" s="33">
        <v>963600</v>
      </c>
      <c r="V236" s="35">
        <v>42675</v>
      </c>
      <c r="W236" s="143"/>
      <c r="X236" s="35">
        <v>42675</v>
      </c>
      <c r="Y236" s="81" t="s">
        <v>436</v>
      </c>
      <c r="Z236" s="57">
        <v>2016</v>
      </c>
      <c r="AA236" s="27">
        <v>838.87000000000012</v>
      </c>
      <c r="AB236" s="33">
        <v>901</v>
      </c>
      <c r="AC236" s="54"/>
      <c r="AD236" s="34">
        <v>0</v>
      </c>
      <c r="AE236" s="62">
        <f t="shared" si="64"/>
        <v>0</v>
      </c>
      <c r="AF236" s="34">
        <v>0</v>
      </c>
      <c r="AG236" s="33">
        <f t="shared" si="65"/>
        <v>0</v>
      </c>
      <c r="AH236" s="58">
        <v>1</v>
      </c>
      <c r="AI236" s="33">
        <f t="shared" si="66"/>
        <v>838.87000000000012</v>
      </c>
      <c r="AJ236" s="24"/>
      <c r="AK236" s="54"/>
      <c r="AL236" s="34"/>
      <c r="AM236" s="59">
        <f t="shared" si="69"/>
        <v>0</v>
      </c>
      <c r="AN236" s="22" t="s">
        <v>42</v>
      </c>
      <c r="AO236" s="60"/>
      <c r="AP236" s="60"/>
      <c r="AQ236" s="60"/>
      <c r="AR236" s="60"/>
      <c r="AS236" s="60"/>
      <c r="AT236" s="60"/>
      <c r="AU236" s="60"/>
      <c r="AV236" s="49"/>
      <c r="AW236" s="49"/>
      <c r="AX236" s="49"/>
    </row>
    <row r="237" spans="1:50" s="211" customFormat="1" ht="15" customHeight="1">
      <c r="A237" s="55" t="s">
        <v>43</v>
      </c>
      <c r="B237" s="63" t="s">
        <v>383</v>
      </c>
      <c r="C237" s="24" t="s">
        <v>476</v>
      </c>
      <c r="D237" s="24" t="s">
        <v>36</v>
      </c>
      <c r="E237" s="177">
        <v>5814368</v>
      </c>
      <c r="F237" s="33">
        <v>1905377</v>
      </c>
      <c r="G237" s="65" t="s">
        <v>408</v>
      </c>
      <c r="H237" s="24" t="s">
        <v>37</v>
      </c>
      <c r="I237" s="21">
        <v>73609</v>
      </c>
      <c r="J237" s="33">
        <v>70322</v>
      </c>
      <c r="K237" s="34"/>
      <c r="L237" s="33">
        <f t="shared" si="62"/>
        <v>0</v>
      </c>
      <c r="M237" s="34">
        <v>1</v>
      </c>
      <c r="N237" s="33">
        <f t="shared" si="63"/>
        <v>73609</v>
      </c>
      <c r="O237" s="34"/>
      <c r="P237" s="33">
        <f t="shared" si="59"/>
        <v>0</v>
      </c>
      <c r="Q237" s="34"/>
      <c r="R237" s="33">
        <f t="shared" si="60"/>
        <v>0</v>
      </c>
      <c r="S237" s="34">
        <f t="shared" si="61"/>
        <v>1</v>
      </c>
      <c r="T237" s="34">
        <v>0</v>
      </c>
      <c r="U237" s="33">
        <v>231775</v>
      </c>
      <c r="V237" s="35">
        <v>53175</v>
      </c>
      <c r="W237" s="143"/>
      <c r="X237" s="35">
        <v>53175</v>
      </c>
      <c r="Y237" s="81" t="s">
        <v>424</v>
      </c>
      <c r="Z237" s="57">
        <v>2045</v>
      </c>
      <c r="AA237" s="27">
        <v>2.6</v>
      </c>
      <c r="AB237" s="33"/>
      <c r="AC237" s="54"/>
      <c r="AD237" s="34">
        <v>0</v>
      </c>
      <c r="AE237" s="62">
        <f t="shared" si="64"/>
        <v>0</v>
      </c>
      <c r="AF237" s="34">
        <v>0</v>
      </c>
      <c r="AG237" s="33">
        <f t="shared" si="65"/>
        <v>0</v>
      </c>
      <c r="AH237" s="58">
        <v>1</v>
      </c>
      <c r="AI237" s="33">
        <f t="shared" si="66"/>
        <v>2.6</v>
      </c>
      <c r="AJ237" s="24"/>
      <c r="AK237" s="54"/>
      <c r="AL237" s="34"/>
      <c r="AM237" s="59">
        <f t="shared" si="69"/>
        <v>0</v>
      </c>
      <c r="AN237" s="22" t="s">
        <v>42</v>
      </c>
      <c r="AO237" s="210"/>
      <c r="AP237" s="210"/>
      <c r="AQ237" s="210"/>
      <c r="AR237" s="210"/>
      <c r="AS237" s="210"/>
      <c r="AT237" s="210"/>
      <c r="AU237" s="210"/>
    </row>
    <row r="238" spans="1:50" s="60" customFormat="1" ht="15" customHeight="1">
      <c r="A238" s="53" t="s">
        <v>250</v>
      </c>
      <c r="B238" s="63" t="s">
        <v>383</v>
      </c>
      <c r="C238" s="24" t="s">
        <v>474</v>
      </c>
      <c r="D238" s="24" t="s">
        <v>246</v>
      </c>
      <c r="E238" s="177">
        <v>5270849</v>
      </c>
      <c r="F238" s="33">
        <v>1435050</v>
      </c>
      <c r="G238" s="33"/>
      <c r="H238" s="24" t="s">
        <v>53</v>
      </c>
      <c r="I238" s="33"/>
      <c r="J238" s="33">
        <v>895401</v>
      </c>
      <c r="K238" s="34"/>
      <c r="L238" s="33">
        <f t="shared" si="62"/>
        <v>0</v>
      </c>
      <c r="M238" s="34"/>
      <c r="N238" s="33">
        <f t="shared" si="63"/>
        <v>0</v>
      </c>
      <c r="O238" s="34"/>
      <c r="P238" s="33">
        <f t="shared" si="59"/>
        <v>0</v>
      </c>
      <c r="Q238" s="34">
        <v>1</v>
      </c>
      <c r="R238" s="33"/>
      <c r="S238" s="34">
        <f t="shared" si="61"/>
        <v>1</v>
      </c>
      <c r="T238" s="34">
        <v>0.25</v>
      </c>
      <c r="U238" s="33"/>
      <c r="V238" s="35">
        <v>42401</v>
      </c>
      <c r="W238" s="143">
        <v>42401</v>
      </c>
      <c r="X238" s="35">
        <v>42401</v>
      </c>
      <c r="Y238" s="81"/>
      <c r="Z238" s="57">
        <v>2016</v>
      </c>
      <c r="AA238" s="33"/>
      <c r="AB238" s="33"/>
      <c r="AC238" s="54"/>
      <c r="AD238" s="34">
        <v>0</v>
      </c>
      <c r="AE238" s="62">
        <f t="shared" si="64"/>
        <v>0</v>
      </c>
      <c r="AF238" s="34">
        <v>0</v>
      </c>
      <c r="AG238" s="33">
        <f t="shared" si="65"/>
        <v>0</v>
      </c>
      <c r="AH238" s="58">
        <v>0</v>
      </c>
      <c r="AI238" s="33">
        <f t="shared" si="66"/>
        <v>0</v>
      </c>
      <c r="AJ238" s="24"/>
      <c r="AK238" s="54">
        <f t="shared" ref="AK238:AK256" si="70">AJ238*AA238</f>
        <v>0</v>
      </c>
      <c r="AL238" s="34">
        <v>0</v>
      </c>
      <c r="AM238" s="59">
        <f t="shared" si="69"/>
        <v>0</v>
      </c>
      <c r="AN238" s="67"/>
    </row>
    <row r="239" spans="1:50" s="60" customFormat="1" ht="15" customHeight="1">
      <c r="A239" s="53" t="s">
        <v>250</v>
      </c>
      <c r="B239" s="63" t="s">
        <v>383</v>
      </c>
      <c r="C239" s="24" t="s">
        <v>474</v>
      </c>
      <c r="D239" s="35" t="s">
        <v>247</v>
      </c>
      <c r="E239" s="177">
        <v>5193595</v>
      </c>
      <c r="F239" s="33">
        <v>1370949</v>
      </c>
      <c r="G239" s="33"/>
      <c r="H239" s="24" t="s">
        <v>53</v>
      </c>
      <c r="I239" s="33"/>
      <c r="J239" s="33">
        <v>218371</v>
      </c>
      <c r="K239" s="34">
        <v>1</v>
      </c>
      <c r="L239" s="33">
        <f t="shared" si="62"/>
        <v>0</v>
      </c>
      <c r="M239" s="34"/>
      <c r="N239" s="33">
        <f t="shared" si="63"/>
        <v>0</v>
      </c>
      <c r="O239" s="34"/>
      <c r="P239" s="33">
        <f t="shared" si="59"/>
        <v>0</v>
      </c>
      <c r="Q239" s="34"/>
      <c r="R239" s="33">
        <f t="shared" si="60"/>
        <v>0</v>
      </c>
      <c r="S239" s="34">
        <f t="shared" si="61"/>
        <v>1</v>
      </c>
      <c r="T239" s="34">
        <v>0</v>
      </c>
      <c r="U239" s="33"/>
      <c r="V239" s="35">
        <v>49857</v>
      </c>
      <c r="W239" s="143">
        <v>49857</v>
      </c>
      <c r="X239" s="35">
        <v>49857</v>
      </c>
      <c r="Y239" s="81"/>
      <c r="Z239" s="57">
        <v>2036</v>
      </c>
      <c r="AA239" s="33"/>
      <c r="AB239" s="33"/>
      <c r="AC239" s="54"/>
      <c r="AD239" s="34">
        <v>0</v>
      </c>
      <c r="AE239" s="62">
        <f t="shared" si="64"/>
        <v>0</v>
      </c>
      <c r="AF239" s="34">
        <v>0</v>
      </c>
      <c r="AG239" s="33">
        <f t="shared" si="65"/>
        <v>0</v>
      </c>
      <c r="AH239" s="58">
        <v>0</v>
      </c>
      <c r="AI239" s="33">
        <f t="shared" si="66"/>
        <v>0</v>
      </c>
      <c r="AJ239" s="24"/>
      <c r="AK239" s="54">
        <f t="shared" si="70"/>
        <v>0</v>
      </c>
      <c r="AL239" s="34">
        <v>0</v>
      </c>
      <c r="AM239" s="59">
        <f t="shared" si="69"/>
        <v>0</v>
      </c>
      <c r="AN239" s="67"/>
    </row>
    <row r="240" spans="1:50" s="60" customFormat="1" ht="15" customHeight="1">
      <c r="A240" s="53" t="s">
        <v>250</v>
      </c>
      <c r="B240" s="63" t="s">
        <v>383</v>
      </c>
      <c r="C240" s="24" t="s">
        <v>474</v>
      </c>
      <c r="D240" s="74" t="s">
        <v>248</v>
      </c>
      <c r="E240" s="177">
        <v>5183000</v>
      </c>
      <c r="F240" s="33">
        <v>1356500</v>
      </c>
      <c r="G240" s="33"/>
      <c r="H240" s="24" t="s">
        <v>53</v>
      </c>
      <c r="I240" s="33"/>
      <c r="J240" s="33">
        <v>131064</v>
      </c>
      <c r="K240" s="34">
        <v>1</v>
      </c>
      <c r="L240" s="33">
        <f t="shared" si="62"/>
        <v>0</v>
      </c>
      <c r="M240" s="34"/>
      <c r="N240" s="33">
        <f t="shared" si="63"/>
        <v>0</v>
      </c>
      <c r="O240" s="34"/>
      <c r="P240" s="33">
        <f t="shared" si="59"/>
        <v>0</v>
      </c>
      <c r="Q240" s="34"/>
      <c r="R240" s="33">
        <f t="shared" si="60"/>
        <v>0</v>
      </c>
      <c r="S240" s="34">
        <f t="shared" si="61"/>
        <v>1</v>
      </c>
      <c r="T240" s="34">
        <v>0</v>
      </c>
      <c r="U240" s="33"/>
      <c r="V240" s="35">
        <v>49919</v>
      </c>
      <c r="W240" s="143">
        <v>49919</v>
      </c>
      <c r="X240" s="35">
        <v>49919</v>
      </c>
      <c r="Y240" s="81"/>
      <c r="Z240" s="57">
        <v>2036</v>
      </c>
      <c r="AA240" s="33"/>
      <c r="AB240" s="33"/>
      <c r="AC240" s="54"/>
      <c r="AD240" s="34">
        <v>0</v>
      </c>
      <c r="AE240" s="62">
        <f t="shared" si="64"/>
        <v>0</v>
      </c>
      <c r="AF240" s="34">
        <v>0</v>
      </c>
      <c r="AG240" s="33">
        <f t="shared" si="65"/>
        <v>0</v>
      </c>
      <c r="AH240" s="58">
        <v>0</v>
      </c>
      <c r="AI240" s="33">
        <f t="shared" si="66"/>
        <v>0</v>
      </c>
      <c r="AJ240" s="24"/>
      <c r="AK240" s="54">
        <f t="shared" si="70"/>
        <v>0</v>
      </c>
      <c r="AL240" s="34">
        <v>0</v>
      </c>
      <c r="AM240" s="59">
        <f t="shared" si="69"/>
        <v>0</v>
      </c>
    </row>
    <row r="241" spans="1:56" s="60" customFormat="1" ht="15" customHeight="1">
      <c r="A241" s="53" t="s">
        <v>250</v>
      </c>
      <c r="B241" s="63" t="s">
        <v>383</v>
      </c>
      <c r="C241" s="24" t="s">
        <v>474</v>
      </c>
      <c r="D241" s="74" t="s">
        <v>249</v>
      </c>
      <c r="E241" s="177">
        <v>5133752</v>
      </c>
      <c r="F241" s="33">
        <v>1282425</v>
      </c>
      <c r="G241" s="33"/>
      <c r="H241" s="24" t="s">
        <v>54</v>
      </c>
      <c r="I241" s="33"/>
      <c r="J241" s="33">
        <v>174717</v>
      </c>
      <c r="K241" s="34">
        <v>1</v>
      </c>
      <c r="L241" s="33">
        <f t="shared" si="62"/>
        <v>0</v>
      </c>
      <c r="M241" s="34"/>
      <c r="N241" s="33">
        <f t="shared" si="63"/>
        <v>0</v>
      </c>
      <c r="O241" s="34"/>
      <c r="P241" s="33">
        <f t="shared" si="59"/>
        <v>0</v>
      </c>
      <c r="Q241" s="34"/>
      <c r="R241" s="33">
        <f t="shared" si="60"/>
        <v>0</v>
      </c>
      <c r="S241" s="34">
        <f t="shared" si="61"/>
        <v>1</v>
      </c>
      <c r="T241" s="34">
        <v>0</v>
      </c>
      <c r="U241" s="33"/>
      <c r="V241" s="35">
        <v>49919</v>
      </c>
      <c r="W241" s="143">
        <v>49919</v>
      </c>
      <c r="X241" s="35">
        <v>49919</v>
      </c>
      <c r="Y241" s="81"/>
      <c r="Z241" s="57">
        <v>2036</v>
      </c>
      <c r="AA241" s="33"/>
      <c r="AB241" s="33"/>
      <c r="AC241" s="54"/>
      <c r="AD241" s="34">
        <v>0</v>
      </c>
      <c r="AE241" s="62">
        <f t="shared" si="64"/>
        <v>0</v>
      </c>
      <c r="AF241" s="34">
        <v>0</v>
      </c>
      <c r="AG241" s="33">
        <f t="shared" si="65"/>
        <v>0</v>
      </c>
      <c r="AH241" s="58">
        <v>0</v>
      </c>
      <c r="AI241" s="33">
        <f t="shared" si="66"/>
        <v>0</v>
      </c>
      <c r="AJ241" s="24"/>
      <c r="AK241" s="54">
        <f t="shared" si="70"/>
        <v>0</v>
      </c>
      <c r="AL241" s="34">
        <v>0</v>
      </c>
      <c r="AM241" s="59">
        <f t="shared" si="69"/>
        <v>0</v>
      </c>
      <c r="AN241" s="68"/>
      <c r="AO241" s="77"/>
      <c r="AP241" s="77"/>
      <c r="AQ241" s="77"/>
    </row>
    <row r="242" spans="1:56" ht="15" customHeight="1">
      <c r="A242" s="53" t="s">
        <v>231</v>
      </c>
      <c r="B242" s="63" t="s">
        <v>383</v>
      </c>
      <c r="C242" s="24" t="s">
        <v>476</v>
      </c>
      <c r="D242" s="94" t="s">
        <v>225</v>
      </c>
      <c r="E242" s="177">
        <v>5792479.7800000003</v>
      </c>
      <c r="F242" s="33">
        <v>1947959.78</v>
      </c>
      <c r="G242" s="33"/>
      <c r="H242" s="24" t="s">
        <v>54</v>
      </c>
      <c r="I242" s="56">
        <v>1752350</v>
      </c>
      <c r="J242" s="33">
        <v>1642570</v>
      </c>
      <c r="K242" s="34"/>
      <c r="L242" s="33">
        <f t="shared" si="62"/>
        <v>0</v>
      </c>
      <c r="M242" s="34"/>
      <c r="N242" s="33">
        <f t="shared" si="63"/>
        <v>0</v>
      </c>
      <c r="O242" s="34"/>
      <c r="P242" s="33">
        <f t="shared" si="59"/>
        <v>0</v>
      </c>
      <c r="Q242" s="34">
        <v>1</v>
      </c>
      <c r="R242" s="33">
        <f t="shared" si="60"/>
        <v>1752350</v>
      </c>
      <c r="S242" s="34">
        <f t="shared" si="61"/>
        <v>1</v>
      </c>
      <c r="T242" s="34">
        <v>6.4000000000000001E-2</v>
      </c>
      <c r="U242" s="27">
        <v>2190000</v>
      </c>
      <c r="V242" s="24">
        <v>2050</v>
      </c>
      <c r="W242" s="143" t="s">
        <v>39</v>
      </c>
      <c r="X242" s="24">
        <v>2026</v>
      </c>
      <c r="Y242" s="22" t="s">
        <v>424</v>
      </c>
      <c r="Z242" s="57">
        <v>2026</v>
      </c>
      <c r="AA242" s="33">
        <v>1450</v>
      </c>
      <c r="AB242" s="33">
        <v>1450</v>
      </c>
      <c r="AC242" s="78"/>
      <c r="AD242" s="34">
        <v>0</v>
      </c>
      <c r="AE242" s="62">
        <f t="shared" si="64"/>
        <v>0</v>
      </c>
      <c r="AF242" s="34">
        <v>0</v>
      </c>
      <c r="AG242" s="33">
        <f t="shared" si="65"/>
        <v>0</v>
      </c>
      <c r="AH242" s="58">
        <v>0</v>
      </c>
      <c r="AI242" s="33">
        <f t="shared" si="66"/>
        <v>0</v>
      </c>
      <c r="AJ242" s="24"/>
      <c r="AK242" s="54">
        <f t="shared" si="70"/>
        <v>0</v>
      </c>
      <c r="AL242" s="34"/>
      <c r="AM242" s="59">
        <f t="shared" si="69"/>
        <v>0</v>
      </c>
      <c r="AN242" s="69" t="s">
        <v>442</v>
      </c>
      <c r="AO242" s="69"/>
      <c r="AP242" s="69"/>
      <c r="AQ242" s="69"/>
      <c r="AR242" s="60"/>
      <c r="AS242" s="60"/>
      <c r="AT242" s="60"/>
      <c r="AU242" s="60"/>
      <c r="AV242" s="49"/>
      <c r="AW242" s="49"/>
      <c r="AX242" s="49"/>
      <c r="AY242" s="11"/>
    </row>
    <row r="243" spans="1:56" ht="15" customHeight="1">
      <c r="A243" s="53" t="s">
        <v>231</v>
      </c>
      <c r="B243" s="63" t="s">
        <v>383</v>
      </c>
      <c r="C243" s="24" t="s">
        <v>476</v>
      </c>
      <c r="D243" s="35" t="s">
        <v>226</v>
      </c>
      <c r="E243" s="177">
        <v>5788037.0099999998</v>
      </c>
      <c r="F243" s="33">
        <v>1956390.35</v>
      </c>
      <c r="G243" s="33"/>
      <c r="H243" s="24" t="s">
        <v>54</v>
      </c>
      <c r="I243" s="56">
        <v>326000</v>
      </c>
      <c r="J243" s="33">
        <v>346750</v>
      </c>
      <c r="K243" s="34">
        <v>1</v>
      </c>
      <c r="L243" s="33">
        <f t="shared" si="62"/>
        <v>326000</v>
      </c>
      <c r="M243" s="34"/>
      <c r="N243" s="33">
        <f t="shared" si="63"/>
        <v>0</v>
      </c>
      <c r="O243" s="34"/>
      <c r="P243" s="33">
        <f t="shared" si="59"/>
        <v>0</v>
      </c>
      <c r="Q243" s="34"/>
      <c r="R243" s="33">
        <f t="shared" si="60"/>
        <v>0</v>
      </c>
      <c r="S243" s="34">
        <f t="shared" si="61"/>
        <v>1</v>
      </c>
      <c r="T243" s="34">
        <v>6.4000000000000001E-2</v>
      </c>
      <c r="U243" s="33">
        <v>450800</v>
      </c>
      <c r="V243" s="41">
        <v>2021</v>
      </c>
      <c r="W243" s="143" t="s">
        <v>39</v>
      </c>
      <c r="X243" s="24">
        <v>2010</v>
      </c>
      <c r="Y243" s="22" t="s">
        <v>436</v>
      </c>
      <c r="Z243" s="57">
        <v>2010</v>
      </c>
      <c r="AA243" s="33">
        <v>335</v>
      </c>
      <c r="AB243" s="33">
        <v>335</v>
      </c>
      <c r="AC243" s="78"/>
      <c r="AD243" s="34">
        <v>0</v>
      </c>
      <c r="AE243" s="62">
        <f t="shared" si="64"/>
        <v>0</v>
      </c>
      <c r="AF243" s="34">
        <v>0</v>
      </c>
      <c r="AG243" s="33">
        <f t="shared" si="65"/>
        <v>0</v>
      </c>
      <c r="AH243" s="58">
        <v>0</v>
      </c>
      <c r="AI243" s="33">
        <f t="shared" si="66"/>
        <v>0</v>
      </c>
      <c r="AJ243" s="24"/>
      <c r="AK243" s="54">
        <f t="shared" si="70"/>
        <v>0</v>
      </c>
      <c r="AL243" s="34"/>
      <c r="AM243" s="59">
        <f t="shared" si="69"/>
        <v>0</v>
      </c>
      <c r="AN243" s="69" t="s">
        <v>442</v>
      </c>
      <c r="AO243" s="69"/>
      <c r="AP243" s="69"/>
      <c r="AQ243" s="69"/>
      <c r="AR243" s="60"/>
      <c r="AS243" s="60"/>
      <c r="AT243" s="60"/>
      <c r="AU243" s="60"/>
      <c r="AV243" s="49"/>
      <c r="AW243" s="49"/>
      <c r="AX243" s="49"/>
      <c r="AY243" s="11"/>
    </row>
    <row r="244" spans="1:56" ht="15" customHeight="1">
      <c r="A244" s="53" t="s">
        <v>231</v>
      </c>
      <c r="B244" s="63" t="s">
        <v>383</v>
      </c>
      <c r="C244" s="24" t="s">
        <v>476</v>
      </c>
      <c r="D244" s="94" t="s">
        <v>227</v>
      </c>
      <c r="E244" s="177">
        <v>5791430.8600000003</v>
      </c>
      <c r="F244" s="33">
        <v>1935300.14</v>
      </c>
      <c r="G244" s="33"/>
      <c r="H244" s="24" t="s">
        <v>54</v>
      </c>
      <c r="I244" s="56">
        <v>178000</v>
      </c>
      <c r="J244" s="33">
        <v>182650</v>
      </c>
      <c r="K244" s="34">
        <v>1</v>
      </c>
      <c r="L244" s="33">
        <f t="shared" si="62"/>
        <v>178000</v>
      </c>
      <c r="M244" s="34"/>
      <c r="N244" s="33">
        <f t="shared" si="63"/>
        <v>0</v>
      </c>
      <c r="O244" s="34"/>
      <c r="P244" s="33">
        <f t="shared" si="59"/>
        <v>0</v>
      </c>
      <c r="Q244" s="34"/>
      <c r="R244" s="33">
        <f t="shared" si="60"/>
        <v>0</v>
      </c>
      <c r="S244" s="34">
        <f t="shared" si="61"/>
        <v>1</v>
      </c>
      <c r="T244" s="34">
        <v>6.4000000000000001E-2</v>
      </c>
      <c r="U244" s="33">
        <v>250000</v>
      </c>
      <c r="V244" s="41">
        <v>2026</v>
      </c>
      <c r="W244" s="143" t="s">
        <v>39</v>
      </c>
      <c r="X244" s="24">
        <v>2026</v>
      </c>
      <c r="Y244" s="22" t="s">
        <v>424</v>
      </c>
      <c r="Z244" s="57">
        <v>2026</v>
      </c>
      <c r="AA244" s="33">
        <v>240</v>
      </c>
      <c r="AB244" s="33">
        <v>240</v>
      </c>
      <c r="AC244" s="54"/>
      <c r="AD244" s="34">
        <v>0</v>
      </c>
      <c r="AE244" s="62">
        <f t="shared" si="64"/>
        <v>0</v>
      </c>
      <c r="AF244" s="34">
        <v>0</v>
      </c>
      <c r="AG244" s="33">
        <f t="shared" si="65"/>
        <v>0</v>
      </c>
      <c r="AH244" s="58">
        <v>0</v>
      </c>
      <c r="AI244" s="33">
        <f t="shared" si="66"/>
        <v>0</v>
      </c>
      <c r="AJ244" s="24"/>
      <c r="AK244" s="54">
        <f t="shared" si="70"/>
        <v>0</v>
      </c>
      <c r="AL244" s="34"/>
      <c r="AM244" s="59">
        <f t="shared" si="69"/>
        <v>0</v>
      </c>
      <c r="AN244" s="69" t="s">
        <v>442</v>
      </c>
      <c r="AO244" s="69"/>
      <c r="AP244" s="69"/>
      <c r="AQ244" s="69"/>
      <c r="AR244" s="60"/>
      <c r="AS244" s="60"/>
      <c r="AT244" s="60"/>
      <c r="AU244" s="60"/>
      <c r="AV244" s="49"/>
      <c r="AW244" s="49"/>
      <c r="AX244" s="49"/>
      <c r="AY244" s="11"/>
    </row>
    <row r="245" spans="1:56" ht="15" customHeight="1">
      <c r="A245" s="53" t="s">
        <v>231</v>
      </c>
      <c r="B245" s="63" t="s">
        <v>383</v>
      </c>
      <c r="C245" s="24" t="s">
        <v>476</v>
      </c>
      <c r="D245" s="24" t="s">
        <v>228</v>
      </c>
      <c r="E245" s="177">
        <v>5738569.4500000002</v>
      </c>
      <c r="F245" s="33">
        <v>1923482.1</v>
      </c>
      <c r="G245" s="33"/>
      <c r="H245" s="24" t="s">
        <v>54</v>
      </c>
      <c r="I245" s="56">
        <v>187750</v>
      </c>
      <c r="J245" s="33">
        <v>185340</v>
      </c>
      <c r="K245" s="34"/>
      <c r="L245" s="33">
        <f t="shared" si="62"/>
        <v>0</v>
      </c>
      <c r="M245" s="34"/>
      <c r="N245" s="33">
        <f t="shared" si="63"/>
        <v>0</v>
      </c>
      <c r="O245" s="34"/>
      <c r="P245" s="33">
        <f t="shared" si="59"/>
        <v>0</v>
      </c>
      <c r="Q245" s="34">
        <v>1</v>
      </c>
      <c r="R245" s="33">
        <f t="shared" si="60"/>
        <v>187750</v>
      </c>
      <c r="S245" s="34">
        <f t="shared" si="61"/>
        <v>1</v>
      </c>
      <c r="T245" s="34">
        <v>6.4000000000000001E-2</v>
      </c>
      <c r="U245" s="33">
        <v>225000</v>
      </c>
      <c r="V245" s="24">
        <v>2026</v>
      </c>
      <c r="W245" s="54" t="s">
        <v>39</v>
      </c>
      <c r="X245" s="24">
        <v>2026</v>
      </c>
      <c r="Y245" s="22" t="s">
        <v>424</v>
      </c>
      <c r="Z245" s="24">
        <v>2026</v>
      </c>
      <c r="AA245" s="33">
        <v>250</v>
      </c>
      <c r="AB245" s="33">
        <v>250</v>
      </c>
      <c r="AC245" s="24"/>
      <c r="AD245" s="34">
        <v>0</v>
      </c>
      <c r="AE245" s="62">
        <f t="shared" si="64"/>
        <v>0</v>
      </c>
      <c r="AF245" s="34">
        <v>0</v>
      </c>
      <c r="AG245" s="33">
        <f t="shared" si="65"/>
        <v>0</v>
      </c>
      <c r="AH245" s="58">
        <v>0</v>
      </c>
      <c r="AI245" s="33">
        <f t="shared" si="66"/>
        <v>0</v>
      </c>
      <c r="AJ245" s="24"/>
      <c r="AK245" s="54">
        <f t="shared" si="70"/>
        <v>0</v>
      </c>
      <c r="AL245" s="34"/>
      <c r="AM245" s="59">
        <f t="shared" si="69"/>
        <v>0</v>
      </c>
      <c r="AN245" s="69" t="s">
        <v>442</v>
      </c>
      <c r="AO245" s="69"/>
      <c r="AP245" s="69"/>
      <c r="AQ245" s="69"/>
      <c r="AR245" s="60"/>
      <c r="AS245" s="60"/>
      <c r="AT245" s="60"/>
      <c r="AU245" s="60"/>
      <c r="AV245" s="49"/>
      <c r="AW245" s="49"/>
      <c r="AX245" s="49"/>
      <c r="AY245" s="11"/>
    </row>
    <row r="246" spans="1:56" ht="15" customHeight="1">
      <c r="A246" s="53" t="s">
        <v>231</v>
      </c>
      <c r="B246" s="63" t="s">
        <v>383</v>
      </c>
      <c r="C246" s="24" t="s">
        <v>476</v>
      </c>
      <c r="D246" s="24" t="s">
        <v>229</v>
      </c>
      <c r="E246" s="177">
        <v>5779677.0999999996</v>
      </c>
      <c r="F246" s="33">
        <v>1950421.98</v>
      </c>
      <c r="G246" s="33"/>
      <c r="H246" s="24" t="s">
        <v>54</v>
      </c>
      <c r="I246" s="56">
        <v>72550</v>
      </c>
      <c r="J246" s="33">
        <v>73270</v>
      </c>
      <c r="K246" s="34">
        <v>1</v>
      </c>
      <c r="L246" s="33">
        <f t="shared" si="62"/>
        <v>72550</v>
      </c>
      <c r="M246" s="34"/>
      <c r="N246" s="33">
        <f t="shared" si="63"/>
        <v>0</v>
      </c>
      <c r="O246" s="34"/>
      <c r="P246" s="33">
        <f t="shared" si="59"/>
        <v>0</v>
      </c>
      <c r="Q246" s="34"/>
      <c r="R246" s="33">
        <f t="shared" si="60"/>
        <v>0</v>
      </c>
      <c r="S246" s="34">
        <f t="shared" si="61"/>
        <v>1</v>
      </c>
      <c r="T246" s="34">
        <v>6.4000000000000001E-2</v>
      </c>
      <c r="U246" s="33">
        <v>100000</v>
      </c>
      <c r="V246" s="24">
        <v>2026</v>
      </c>
      <c r="W246" s="54" t="s">
        <v>39</v>
      </c>
      <c r="X246" s="24">
        <v>2026</v>
      </c>
      <c r="Y246" s="22" t="s">
        <v>424</v>
      </c>
      <c r="Z246" s="24">
        <v>2026</v>
      </c>
      <c r="AA246" s="33">
        <v>115</v>
      </c>
      <c r="AB246" s="33">
        <v>115</v>
      </c>
      <c r="AC246" s="24"/>
      <c r="AD246" s="34">
        <v>0</v>
      </c>
      <c r="AE246" s="62">
        <f t="shared" si="64"/>
        <v>0</v>
      </c>
      <c r="AF246" s="34">
        <v>0</v>
      </c>
      <c r="AG246" s="33">
        <f t="shared" si="65"/>
        <v>0</v>
      </c>
      <c r="AH246" s="58">
        <v>0</v>
      </c>
      <c r="AI246" s="33">
        <f t="shared" si="66"/>
        <v>0</v>
      </c>
      <c r="AJ246" s="24"/>
      <c r="AK246" s="54">
        <f t="shared" si="70"/>
        <v>0</v>
      </c>
      <c r="AL246" s="34"/>
      <c r="AM246" s="59">
        <f t="shared" si="69"/>
        <v>0</v>
      </c>
      <c r="AN246" s="69" t="s">
        <v>442</v>
      </c>
      <c r="AO246" s="69"/>
      <c r="AP246" s="69"/>
      <c r="AQ246" s="69"/>
      <c r="AR246" s="60"/>
      <c r="AS246" s="60"/>
      <c r="AT246" s="60"/>
      <c r="AU246" s="60"/>
      <c r="AV246" s="49"/>
      <c r="AW246" s="49"/>
      <c r="AX246" s="49"/>
      <c r="AY246" s="11"/>
    </row>
    <row r="247" spans="1:56" ht="15" customHeight="1">
      <c r="A247" s="53" t="s">
        <v>231</v>
      </c>
      <c r="B247" s="63" t="s">
        <v>383</v>
      </c>
      <c r="C247" s="24" t="s">
        <v>476</v>
      </c>
      <c r="D247" s="24" t="s">
        <v>230</v>
      </c>
      <c r="E247" s="177">
        <v>5775298.29</v>
      </c>
      <c r="F247" s="33">
        <v>1934430.3</v>
      </c>
      <c r="G247" s="33"/>
      <c r="H247" s="24" t="s">
        <v>54</v>
      </c>
      <c r="I247" s="56">
        <v>17950</v>
      </c>
      <c r="J247" s="33">
        <v>18250</v>
      </c>
      <c r="K247" s="34"/>
      <c r="L247" s="33">
        <f t="shared" si="62"/>
        <v>0</v>
      </c>
      <c r="M247" s="34">
        <v>1</v>
      </c>
      <c r="N247" s="33">
        <f t="shared" si="63"/>
        <v>17950</v>
      </c>
      <c r="O247" s="34"/>
      <c r="P247" s="33">
        <f t="shared" si="59"/>
        <v>0</v>
      </c>
      <c r="Q247" s="34"/>
      <c r="R247" s="33">
        <f t="shared" si="60"/>
        <v>0</v>
      </c>
      <c r="S247" s="34">
        <f t="shared" si="61"/>
        <v>1</v>
      </c>
      <c r="T247" s="34">
        <v>6.4000000000000001E-2</v>
      </c>
      <c r="U247" s="33">
        <v>20000</v>
      </c>
      <c r="V247" s="24">
        <v>2017</v>
      </c>
      <c r="W247" s="54" t="s">
        <v>39</v>
      </c>
      <c r="X247" s="24" t="s">
        <v>39</v>
      </c>
      <c r="Y247" s="22" t="s">
        <v>424</v>
      </c>
      <c r="Z247" s="57">
        <v>2017</v>
      </c>
      <c r="AA247" s="33" t="s">
        <v>441</v>
      </c>
      <c r="AB247" s="33">
        <v>0</v>
      </c>
      <c r="AC247" s="24"/>
      <c r="AD247" s="34">
        <v>0</v>
      </c>
      <c r="AE247" s="62">
        <v>0</v>
      </c>
      <c r="AF247" s="34">
        <v>0</v>
      </c>
      <c r="AG247" s="33">
        <v>0</v>
      </c>
      <c r="AH247" s="58">
        <v>0</v>
      </c>
      <c r="AI247" s="33">
        <v>0</v>
      </c>
      <c r="AJ247" s="24"/>
      <c r="AK247" s="54" t="e">
        <f t="shared" si="70"/>
        <v>#VALUE!</v>
      </c>
      <c r="AL247" s="34"/>
      <c r="AM247" s="59">
        <v>0</v>
      </c>
      <c r="AN247" s="69" t="s">
        <v>442</v>
      </c>
      <c r="AO247" s="69"/>
      <c r="AP247" s="69"/>
      <c r="AQ247" s="69"/>
      <c r="AR247" s="60"/>
      <c r="AS247" s="60"/>
      <c r="AT247" s="60"/>
      <c r="AU247" s="60"/>
      <c r="AV247" s="49"/>
      <c r="AW247" s="49"/>
      <c r="AX247" s="49"/>
      <c r="AY247" s="11"/>
    </row>
    <row r="248" spans="1:56" ht="15" customHeight="1">
      <c r="A248" s="53" t="s">
        <v>262</v>
      </c>
      <c r="B248" s="63" t="s">
        <v>383</v>
      </c>
      <c r="C248" s="24" t="s">
        <v>476</v>
      </c>
      <c r="D248" s="24" t="s">
        <v>253</v>
      </c>
      <c r="E248" s="177">
        <v>6043500.2319999998</v>
      </c>
      <c r="F248" s="33">
        <v>1720242.8570000001</v>
      </c>
      <c r="G248" s="65" t="s">
        <v>318</v>
      </c>
      <c r="H248" s="24" t="s">
        <v>37</v>
      </c>
      <c r="I248" s="21">
        <v>5628498</v>
      </c>
      <c r="J248" s="33">
        <v>6169841</v>
      </c>
      <c r="K248" s="34">
        <v>1</v>
      </c>
      <c r="L248" s="33">
        <f t="shared" si="62"/>
        <v>5628498</v>
      </c>
      <c r="M248" s="34">
        <v>0</v>
      </c>
      <c r="N248" s="33">
        <f t="shared" si="63"/>
        <v>0</v>
      </c>
      <c r="O248" s="34">
        <v>0</v>
      </c>
      <c r="P248" s="33">
        <f t="shared" si="59"/>
        <v>0</v>
      </c>
      <c r="Q248" s="34">
        <v>0</v>
      </c>
      <c r="R248" s="33">
        <f t="shared" si="60"/>
        <v>0</v>
      </c>
      <c r="S248" s="34">
        <f t="shared" si="61"/>
        <v>1</v>
      </c>
      <c r="T248" s="29">
        <v>0.15</v>
      </c>
      <c r="U248" s="33">
        <v>51100000</v>
      </c>
      <c r="V248" s="35">
        <v>44681</v>
      </c>
      <c r="W248" s="54" t="s">
        <v>39</v>
      </c>
      <c r="X248" s="35">
        <v>44681</v>
      </c>
      <c r="Y248" s="22" t="s">
        <v>424</v>
      </c>
      <c r="Z248" s="57">
        <v>2022</v>
      </c>
      <c r="AA248" s="33">
        <v>838.49617261037702</v>
      </c>
      <c r="AB248" s="33"/>
      <c r="AC248" s="24"/>
      <c r="AD248" s="34">
        <v>0</v>
      </c>
      <c r="AE248" s="62">
        <f t="shared" ref="AE248:AE256" si="71">AA248*AD248</f>
        <v>0</v>
      </c>
      <c r="AF248" s="34">
        <v>1</v>
      </c>
      <c r="AG248" s="33">
        <f t="shared" ref="AG248:AG256" si="72">AA248*AF248</f>
        <v>838.49617261037702</v>
      </c>
      <c r="AH248" s="58">
        <v>0</v>
      </c>
      <c r="AI248" s="33">
        <f t="shared" ref="AI248:AI256" si="73">AA248*AH248</f>
        <v>0</v>
      </c>
      <c r="AJ248" s="24"/>
      <c r="AK248" s="54">
        <f t="shared" si="70"/>
        <v>0</v>
      </c>
      <c r="AL248" s="34">
        <v>0</v>
      </c>
      <c r="AM248" s="59">
        <f t="shared" ref="AM248:AM256" si="74">AA248*AL248</f>
        <v>0</v>
      </c>
      <c r="AN248" s="67"/>
      <c r="AO248" s="67"/>
      <c r="AP248" s="67"/>
      <c r="AQ248" s="67"/>
      <c r="AR248" s="60"/>
      <c r="AS248" s="60"/>
      <c r="AT248" s="60"/>
      <c r="AU248" s="60"/>
      <c r="AV248" s="49"/>
      <c r="AW248" s="49"/>
      <c r="AX248" s="49"/>
      <c r="AY248" s="11"/>
    </row>
    <row r="249" spans="1:56" ht="15" customHeight="1">
      <c r="A249" s="53" t="s">
        <v>262</v>
      </c>
      <c r="B249" s="63" t="s">
        <v>383</v>
      </c>
      <c r="C249" s="24" t="s">
        <v>476</v>
      </c>
      <c r="D249" s="34" t="s">
        <v>254</v>
      </c>
      <c r="E249" s="176">
        <v>6029800</v>
      </c>
      <c r="F249" s="27">
        <v>173200</v>
      </c>
      <c r="G249" s="65" t="s">
        <v>408</v>
      </c>
      <c r="H249" s="34" t="s">
        <v>54</v>
      </c>
      <c r="I249" s="21">
        <v>321468</v>
      </c>
      <c r="J249" s="33">
        <v>333017</v>
      </c>
      <c r="K249" s="34">
        <v>0</v>
      </c>
      <c r="L249" s="33">
        <f t="shared" si="62"/>
        <v>0</v>
      </c>
      <c r="M249" s="34">
        <v>1</v>
      </c>
      <c r="N249" s="33">
        <f t="shared" si="63"/>
        <v>321468</v>
      </c>
      <c r="O249" s="34">
        <v>0</v>
      </c>
      <c r="P249" s="33">
        <f t="shared" si="59"/>
        <v>0</v>
      </c>
      <c r="Q249" s="34">
        <v>0</v>
      </c>
      <c r="R249" s="33">
        <f t="shared" si="60"/>
        <v>0</v>
      </c>
      <c r="S249" s="34">
        <f t="shared" si="61"/>
        <v>1</v>
      </c>
      <c r="T249" s="29">
        <v>0.15</v>
      </c>
      <c r="U249" s="33">
        <v>400286</v>
      </c>
      <c r="V249" s="35">
        <v>43251</v>
      </c>
      <c r="W249" s="78" t="s">
        <v>39</v>
      </c>
      <c r="X249" s="35">
        <v>43251</v>
      </c>
      <c r="Y249" s="22" t="s">
        <v>424</v>
      </c>
      <c r="Z249" s="57">
        <v>2018</v>
      </c>
      <c r="AA249" s="33">
        <v>47.890163169057288</v>
      </c>
      <c r="AB249" s="33"/>
      <c r="AC249" s="34"/>
      <c r="AD249" s="34"/>
      <c r="AE249" s="62">
        <f t="shared" si="71"/>
        <v>0</v>
      </c>
      <c r="AF249" s="34"/>
      <c r="AG249" s="33">
        <f t="shared" si="72"/>
        <v>0</v>
      </c>
      <c r="AH249" s="58"/>
      <c r="AI249" s="33">
        <f t="shared" si="73"/>
        <v>0</v>
      </c>
      <c r="AJ249" s="24"/>
      <c r="AK249" s="54">
        <f t="shared" si="70"/>
        <v>0</v>
      </c>
      <c r="AL249" s="34"/>
      <c r="AM249" s="59">
        <f t="shared" si="74"/>
        <v>0</v>
      </c>
      <c r="AN249" s="60"/>
      <c r="AO249" s="60"/>
      <c r="AP249" s="60"/>
      <c r="AQ249" s="60"/>
      <c r="AR249" s="60"/>
      <c r="AS249" s="60"/>
      <c r="AT249" s="60"/>
      <c r="AU249" s="60"/>
      <c r="AV249" s="49"/>
      <c r="AW249" s="49"/>
      <c r="AX249" s="49"/>
      <c r="AY249" s="11"/>
    </row>
    <row r="250" spans="1:56" ht="15" customHeight="1">
      <c r="A250" s="53" t="s">
        <v>262</v>
      </c>
      <c r="B250" s="63" t="s">
        <v>383</v>
      </c>
      <c r="C250" s="24" t="s">
        <v>476</v>
      </c>
      <c r="D250" s="34" t="s">
        <v>255</v>
      </c>
      <c r="E250" s="177">
        <v>6017529</v>
      </c>
      <c r="F250" s="33">
        <v>1732554</v>
      </c>
      <c r="G250" s="33"/>
      <c r="H250" s="34" t="s">
        <v>54</v>
      </c>
      <c r="I250" s="21">
        <v>150930</v>
      </c>
      <c r="J250" s="33">
        <v>158783</v>
      </c>
      <c r="K250" s="34">
        <v>0</v>
      </c>
      <c r="L250" s="33">
        <f t="shared" si="62"/>
        <v>0</v>
      </c>
      <c r="M250" s="34">
        <v>1</v>
      </c>
      <c r="N250" s="33">
        <f t="shared" si="63"/>
        <v>150930</v>
      </c>
      <c r="O250" s="34">
        <v>0</v>
      </c>
      <c r="P250" s="33">
        <f t="shared" si="59"/>
        <v>0</v>
      </c>
      <c r="Q250" s="34">
        <v>0</v>
      </c>
      <c r="R250" s="33">
        <f t="shared" si="60"/>
        <v>0</v>
      </c>
      <c r="S250" s="34">
        <f t="shared" si="61"/>
        <v>1</v>
      </c>
      <c r="T250" s="29">
        <v>0.15</v>
      </c>
      <c r="U250" s="33">
        <v>182500</v>
      </c>
      <c r="V250" s="35">
        <v>47634</v>
      </c>
      <c r="W250" s="78" t="s">
        <v>39</v>
      </c>
      <c r="X250" s="35">
        <v>47634</v>
      </c>
      <c r="Y250" s="22" t="s">
        <v>424</v>
      </c>
      <c r="Z250" s="57">
        <v>2030</v>
      </c>
      <c r="AA250" s="33">
        <v>22.484546913241182</v>
      </c>
      <c r="AB250" s="33"/>
      <c r="AC250" s="78"/>
      <c r="AD250" s="34"/>
      <c r="AE250" s="62">
        <f t="shared" si="71"/>
        <v>0</v>
      </c>
      <c r="AF250" s="34"/>
      <c r="AG250" s="33">
        <f t="shared" si="72"/>
        <v>0</v>
      </c>
      <c r="AH250" s="58"/>
      <c r="AI250" s="33">
        <f t="shared" si="73"/>
        <v>0</v>
      </c>
      <c r="AJ250" s="24"/>
      <c r="AK250" s="54">
        <f t="shared" si="70"/>
        <v>0</v>
      </c>
      <c r="AL250" s="34"/>
      <c r="AM250" s="59">
        <f t="shared" si="74"/>
        <v>0</v>
      </c>
      <c r="AN250" s="67"/>
      <c r="AO250" s="60"/>
      <c r="AP250" s="60"/>
      <c r="AQ250" s="60"/>
      <c r="AR250" s="60"/>
      <c r="AS250" s="60"/>
      <c r="AT250" s="60"/>
      <c r="AU250" s="60"/>
      <c r="AV250" s="49"/>
      <c r="AW250" s="49"/>
      <c r="AX250" s="49"/>
      <c r="AY250" s="11"/>
    </row>
    <row r="251" spans="1:56" ht="15" customHeight="1">
      <c r="A251" s="53" t="s">
        <v>262</v>
      </c>
      <c r="B251" s="63" t="s">
        <v>383</v>
      </c>
      <c r="C251" s="24" t="s">
        <v>476</v>
      </c>
      <c r="D251" s="24" t="s">
        <v>256</v>
      </c>
      <c r="E251" s="177">
        <v>6058500</v>
      </c>
      <c r="F251" s="33">
        <v>1715700</v>
      </c>
      <c r="G251" s="24"/>
      <c r="H251" s="24" t="s">
        <v>37</v>
      </c>
      <c r="I251" s="21">
        <v>265709</v>
      </c>
      <c r="J251" s="33">
        <v>315852</v>
      </c>
      <c r="K251" s="34">
        <v>1</v>
      </c>
      <c r="L251" s="33">
        <f t="shared" si="62"/>
        <v>265709</v>
      </c>
      <c r="M251" s="34">
        <v>0</v>
      </c>
      <c r="N251" s="33">
        <f t="shared" si="63"/>
        <v>0</v>
      </c>
      <c r="O251" s="34">
        <v>0</v>
      </c>
      <c r="P251" s="33">
        <f t="shared" si="59"/>
        <v>0</v>
      </c>
      <c r="Q251" s="34">
        <v>0</v>
      </c>
      <c r="R251" s="33">
        <f t="shared" si="60"/>
        <v>0</v>
      </c>
      <c r="S251" s="34">
        <f t="shared" si="61"/>
        <v>1</v>
      </c>
      <c r="T251" s="29">
        <v>0.15</v>
      </c>
      <c r="U251" s="33">
        <v>255500</v>
      </c>
      <c r="V251" s="35">
        <v>45838</v>
      </c>
      <c r="W251" s="78" t="s">
        <v>39</v>
      </c>
      <c r="X251" s="35">
        <v>45838</v>
      </c>
      <c r="Y251" s="22" t="s">
        <v>424</v>
      </c>
      <c r="Z251" s="57">
        <v>2025</v>
      </c>
      <c r="AA251" s="33">
        <v>39.583558442790704</v>
      </c>
      <c r="AB251" s="33"/>
      <c r="AC251" s="78"/>
      <c r="AD251" s="34"/>
      <c r="AE251" s="62">
        <f t="shared" si="71"/>
        <v>0</v>
      </c>
      <c r="AF251" s="34"/>
      <c r="AG251" s="33">
        <f t="shared" si="72"/>
        <v>0</v>
      </c>
      <c r="AH251" s="58"/>
      <c r="AI251" s="33">
        <f t="shared" si="73"/>
        <v>0</v>
      </c>
      <c r="AJ251" s="24"/>
      <c r="AK251" s="54">
        <f t="shared" si="70"/>
        <v>0</v>
      </c>
      <c r="AL251" s="34"/>
      <c r="AM251" s="59">
        <f t="shared" si="74"/>
        <v>0</v>
      </c>
      <c r="AN251" s="67"/>
      <c r="AO251" s="67"/>
      <c r="AP251" s="67"/>
      <c r="AQ251" s="60"/>
      <c r="AR251" s="60"/>
      <c r="AS251" s="60"/>
      <c r="AT251" s="60"/>
      <c r="AU251" s="60"/>
      <c r="AV251" s="49"/>
      <c r="AW251" s="49"/>
      <c r="AX251" s="49"/>
      <c r="AY251" s="11"/>
    </row>
    <row r="252" spans="1:56" ht="15" customHeight="1">
      <c r="A252" s="53" t="s">
        <v>262</v>
      </c>
      <c r="B252" s="63" t="s">
        <v>383</v>
      </c>
      <c r="C252" s="24" t="s">
        <v>476</v>
      </c>
      <c r="D252" s="24" t="s">
        <v>257</v>
      </c>
      <c r="E252" s="177">
        <v>6056600</v>
      </c>
      <c r="F252" s="33">
        <v>1735650</v>
      </c>
      <c r="G252" s="33"/>
      <c r="H252" s="24" t="s">
        <v>37</v>
      </c>
      <c r="I252" s="21">
        <v>52004</v>
      </c>
      <c r="J252" s="33">
        <v>61267</v>
      </c>
      <c r="K252" s="34">
        <v>1</v>
      </c>
      <c r="L252" s="33">
        <f t="shared" si="62"/>
        <v>52004</v>
      </c>
      <c r="M252" s="34">
        <v>0</v>
      </c>
      <c r="N252" s="33">
        <f t="shared" si="63"/>
        <v>0</v>
      </c>
      <c r="O252" s="34">
        <v>0</v>
      </c>
      <c r="P252" s="33">
        <f t="shared" si="59"/>
        <v>0</v>
      </c>
      <c r="Q252" s="34">
        <v>0</v>
      </c>
      <c r="R252" s="33">
        <f t="shared" si="60"/>
        <v>0</v>
      </c>
      <c r="S252" s="34">
        <f t="shared" si="61"/>
        <v>1</v>
      </c>
      <c r="T252" s="29">
        <v>0.15</v>
      </c>
      <c r="U252" s="33">
        <v>273750</v>
      </c>
      <c r="V252" s="35">
        <v>45808</v>
      </c>
      <c r="W252" s="78" t="s">
        <v>39</v>
      </c>
      <c r="X252" s="35">
        <v>45808</v>
      </c>
      <c r="Y252" s="22" t="s">
        <v>424</v>
      </c>
      <c r="Z252" s="57">
        <v>2025</v>
      </c>
      <c r="AA252" s="33">
        <v>7.7472098169760457</v>
      </c>
      <c r="AB252" s="33"/>
      <c r="AC252" s="78"/>
      <c r="AD252" s="34"/>
      <c r="AE252" s="62">
        <f t="shared" si="71"/>
        <v>0</v>
      </c>
      <c r="AF252" s="34"/>
      <c r="AG252" s="33">
        <f t="shared" si="72"/>
        <v>0</v>
      </c>
      <c r="AH252" s="58"/>
      <c r="AI252" s="33">
        <f t="shared" si="73"/>
        <v>0</v>
      </c>
      <c r="AJ252" s="24"/>
      <c r="AK252" s="54">
        <f t="shared" si="70"/>
        <v>0</v>
      </c>
      <c r="AL252" s="34"/>
      <c r="AM252" s="59">
        <f t="shared" si="74"/>
        <v>0</v>
      </c>
      <c r="AN252" s="67"/>
      <c r="AO252" s="60"/>
      <c r="AP252" s="60"/>
      <c r="AQ252" s="60"/>
      <c r="AR252" s="60"/>
      <c r="AS252" s="60"/>
      <c r="AT252" s="60"/>
      <c r="AU252" s="60"/>
      <c r="AV252" s="49"/>
      <c r="AW252" s="49"/>
      <c r="AX252" s="49"/>
      <c r="AY252" s="11"/>
    </row>
    <row r="253" spans="1:56" ht="15" customHeight="1">
      <c r="A253" s="53" t="s">
        <v>262</v>
      </c>
      <c r="B253" s="63" t="s">
        <v>383</v>
      </c>
      <c r="C253" s="24" t="s">
        <v>476</v>
      </c>
      <c r="D253" s="24" t="s">
        <v>258</v>
      </c>
      <c r="E253" s="177">
        <v>6036495</v>
      </c>
      <c r="F253" s="33">
        <v>1719760</v>
      </c>
      <c r="G253" s="33"/>
      <c r="H253" s="24" t="s">
        <v>54</v>
      </c>
      <c r="I253" s="21">
        <v>40057</v>
      </c>
      <c r="J253" s="33">
        <v>36420</v>
      </c>
      <c r="K253" s="34">
        <v>1</v>
      </c>
      <c r="L253" s="33">
        <f t="shared" si="62"/>
        <v>40057</v>
      </c>
      <c r="M253" s="34">
        <v>0</v>
      </c>
      <c r="N253" s="33">
        <f t="shared" si="63"/>
        <v>0</v>
      </c>
      <c r="O253" s="34">
        <v>0</v>
      </c>
      <c r="P253" s="33">
        <f t="shared" si="59"/>
        <v>0</v>
      </c>
      <c r="Q253" s="34">
        <v>0</v>
      </c>
      <c r="R253" s="33">
        <f t="shared" si="60"/>
        <v>0</v>
      </c>
      <c r="S253" s="34">
        <f t="shared" si="61"/>
        <v>1</v>
      </c>
      <c r="T253" s="29">
        <v>0.15</v>
      </c>
      <c r="U253" s="33">
        <v>35405</v>
      </c>
      <c r="V253" s="35">
        <v>45443</v>
      </c>
      <c r="W253" s="143">
        <v>45443</v>
      </c>
      <c r="X253" s="35">
        <v>45443</v>
      </c>
      <c r="Y253" s="22" t="s">
        <v>424</v>
      </c>
      <c r="Z253" s="57">
        <v>2024</v>
      </c>
      <c r="AA253" s="33">
        <v>5.9674252680295634</v>
      </c>
      <c r="AB253" s="33"/>
      <c r="AC253" s="54"/>
      <c r="AD253" s="34"/>
      <c r="AE253" s="62">
        <f t="shared" si="71"/>
        <v>0</v>
      </c>
      <c r="AF253" s="34"/>
      <c r="AG253" s="33">
        <f t="shared" si="72"/>
        <v>0</v>
      </c>
      <c r="AH253" s="58"/>
      <c r="AI253" s="33">
        <f t="shared" si="73"/>
        <v>0</v>
      </c>
      <c r="AJ253" s="24"/>
      <c r="AK253" s="54">
        <f t="shared" si="70"/>
        <v>0</v>
      </c>
      <c r="AL253" s="34"/>
      <c r="AM253" s="59">
        <f t="shared" si="74"/>
        <v>0</v>
      </c>
      <c r="AN253" s="67"/>
      <c r="AO253" s="60"/>
      <c r="AP253" s="60"/>
      <c r="AQ253" s="60"/>
      <c r="AR253" s="60"/>
      <c r="AS253" s="60"/>
      <c r="AT253" s="60"/>
      <c r="AU253" s="60"/>
      <c r="AV253" s="49"/>
      <c r="AW253" s="49"/>
      <c r="AX253" s="49"/>
      <c r="AY253" s="11"/>
    </row>
    <row r="254" spans="1:56" ht="15" customHeight="1">
      <c r="A254" s="53" t="s">
        <v>262</v>
      </c>
      <c r="B254" s="63" t="s">
        <v>383</v>
      </c>
      <c r="C254" s="24" t="s">
        <v>476</v>
      </c>
      <c r="D254" s="24" t="s">
        <v>259</v>
      </c>
      <c r="E254" s="177">
        <v>6057694.4780000001</v>
      </c>
      <c r="F254" s="33">
        <v>1737629.9069999999</v>
      </c>
      <c r="G254" s="65" t="s">
        <v>318</v>
      </c>
      <c r="H254" s="24" t="s">
        <v>37</v>
      </c>
      <c r="I254" s="21">
        <v>12339</v>
      </c>
      <c r="J254" s="33">
        <v>10831</v>
      </c>
      <c r="K254" s="34">
        <v>1</v>
      </c>
      <c r="L254" s="33">
        <f t="shared" si="62"/>
        <v>12339</v>
      </c>
      <c r="M254" s="34">
        <v>0</v>
      </c>
      <c r="N254" s="33">
        <f t="shared" si="63"/>
        <v>0</v>
      </c>
      <c r="O254" s="34">
        <v>0</v>
      </c>
      <c r="P254" s="33">
        <f t="shared" si="59"/>
        <v>0</v>
      </c>
      <c r="Q254" s="34">
        <v>0</v>
      </c>
      <c r="R254" s="33">
        <f t="shared" si="60"/>
        <v>0</v>
      </c>
      <c r="S254" s="34">
        <f t="shared" si="61"/>
        <v>1</v>
      </c>
      <c r="T254" s="29">
        <v>0.15</v>
      </c>
      <c r="U254" s="33">
        <v>54750</v>
      </c>
      <c r="V254" s="35">
        <v>45443</v>
      </c>
      <c r="W254" s="54" t="s">
        <v>39</v>
      </c>
      <c r="X254" s="35">
        <v>45443</v>
      </c>
      <c r="Y254" s="22" t="s">
        <v>424</v>
      </c>
      <c r="Z254" s="57">
        <v>2024</v>
      </c>
      <c r="AA254" s="33">
        <v>1.83818210006283</v>
      </c>
      <c r="AB254" s="33"/>
      <c r="AC254" s="54"/>
      <c r="AD254" s="34"/>
      <c r="AE254" s="62">
        <f t="shared" si="71"/>
        <v>0</v>
      </c>
      <c r="AF254" s="34"/>
      <c r="AG254" s="33">
        <f t="shared" si="72"/>
        <v>0</v>
      </c>
      <c r="AH254" s="58"/>
      <c r="AI254" s="33">
        <f t="shared" si="73"/>
        <v>0</v>
      </c>
      <c r="AJ254" s="24"/>
      <c r="AK254" s="54">
        <f t="shared" si="70"/>
        <v>0</v>
      </c>
      <c r="AL254" s="34"/>
      <c r="AM254" s="59">
        <f t="shared" si="74"/>
        <v>0</v>
      </c>
      <c r="AN254" s="67"/>
      <c r="AO254" s="67"/>
      <c r="AP254" s="67"/>
      <c r="AQ254" s="60"/>
      <c r="AR254" s="60"/>
      <c r="AS254" s="60"/>
      <c r="AT254" s="60"/>
      <c r="AU254" s="60"/>
      <c r="AV254" s="49"/>
      <c r="AW254" s="49"/>
      <c r="AX254" s="49"/>
      <c r="AY254" s="11"/>
    </row>
    <row r="255" spans="1:56" ht="15" customHeight="1">
      <c r="A255" s="53" t="s">
        <v>262</v>
      </c>
      <c r="B255" s="63" t="s">
        <v>383</v>
      </c>
      <c r="C255" s="24" t="s">
        <v>476</v>
      </c>
      <c r="D255" s="24" t="s">
        <v>260</v>
      </c>
      <c r="E255" s="176">
        <v>6082750</v>
      </c>
      <c r="F255" s="27">
        <v>1720950</v>
      </c>
      <c r="G255" s="65" t="s">
        <v>408</v>
      </c>
      <c r="H255" s="24" t="s">
        <v>37</v>
      </c>
      <c r="I255" s="21">
        <v>18760</v>
      </c>
      <c r="J255" s="33">
        <v>14247</v>
      </c>
      <c r="K255" s="34">
        <v>0</v>
      </c>
      <c r="L255" s="33">
        <f t="shared" si="62"/>
        <v>0</v>
      </c>
      <c r="M255" s="34">
        <v>1</v>
      </c>
      <c r="N255" s="33">
        <f t="shared" si="63"/>
        <v>18760</v>
      </c>
      <c r="O255" s="34">
        <v>0</v>
      </c>
      <c r="P255" s="33">
        <f t="shared" si="59"/>
        <v>0</v>
      </c>
      <c r="Q255" s="34">
        <v>0</v>
      </c>
      <c r="R255" s="33">
        <f t="shared" si="60"/>
        <v>0</v>
      </c>
      <c r="S255" s="34">
        <f t="shared" si="61"/>
        <v>1</v>
      </c>
      <c r="T255" s="29">
        <v>0.15</v>
      </c>
      <c r="U255" s="33">
        <v>109500</v>
      </c>
      <c r="V255" s="35">
        <v>45808</v>
      </c>
      <c r="W255" s="54" t="s">
        <v>39</v>
      </c>
      <c r="X255" s="35">
        <v>45808</v>
      </c>
      <c r="Y255" s="22" t="s">
        <v>424</v>
      </c>
      <c r="Z255" s="57">
        <v>2025</v>
      </c>
      <c r="AA255" s="33">
        <v>2.7947399462824132</v>
      </c>
      <c r="AB255" s="33"/>
      <c r="AC255" s="54"/>
      <c r="AD255" s="34"/>
      <c r="AE255" s="62">
        <f t="shared" si="71"/>
        <v>0</v>
      </c>
      <c r="AF255" s="34"/>
      <c r="AG255" s="33">
        <f t="shared" si="72"/>
        <v>0</v>
      </c>
      <c r="AH255" s="58"/>
      <c r="AI255" s="33">
        <f t="shared" si="73"/>
        <v>0</v>
      </c>
      <c r="AJ255" s="24"/>
      <c r="AK255" s="54">
        <f t="shared" si="70"/>
        <v>0</v>
      </c>
      <c r="AL255" s="34"/>
      <c r="AM255" s="59">
        <f t="shared" si="74"/>
        <v>0</v>
      </c>
      <c r="AN255" s="67"/>
      <c r="AO255" s="67"/>
      <c r="AP255" s="67"/>
      <c r="AQ255" s="67"/>
      <c r="AR255" s="67"/>
      <c r="AS255" s="67"/>
      <c r="AT255" s="67"/>
      <c r="AU255" s="60"/>
      <c r="AV255" s="49"/>
      <c r="AW255" s="49"/>
      <c r="AX255" s="49"/>
      <c r="AY255" s="11"/>
    </row>
    <row r="256" spans="1:56" ht="15.75" customHeight="1" thickBot="1">
      <c r="A256" s="132" t="s">
        <v>262</v>
      </c>
      <c r="B256" s="63" t="s">
        <v>383</v>
      </c>
      <c r="C256" s="189" t="s">
        <v>476</v>
      </c>
      <c r="D256" s="189" t="s">
        <v>261</v>
      </c>
      <c r="E256" s="183">
        <v>6022516</v>
      </c>
      <c r="F256" s="106">
        <v>1708288</v>
      </c>
      <c r="G256" s="106"/>
      <c r="H256" s="108" t="s">
        <v>54</v>
      </c>
      <c r="I256" s="42">
        <v>2336</v>
      </c>
      <c r="J256" s="106">
        <v>2336</v>
      </c>
      <c r="K256" s="109">
        <v>1</v>
      </c>
      <c r="L256" s="106">
        <f t="shared" si="62"/>
        <v>2336</v>
      </c>
      <c r="M256" s="109">
        <v>0</v>
      </c>
      <c r="N256" s="106">
        <f t="shared" si="63"/>
        <v>0</v>
      </c>
      <c r="O256" s="109">
        <v>0</v>
      </c>
      <c r="P256" s="106">
        <f t="shared" si="59"/>
        <v>0</v>
      </c>
      <c r="Q256" s="109">
        <v>0</v>
      </c>
      <c r="R256" s="106">
        <f t="shared" si="60"/>
        <v>0</v>
      </c>
      <c r="S256" s="109">
        <f t="shared" si="61"/>
        <v>1</v>
      </c>
      <c r="T256" s="43">
        <v>0.15</v>
      </c>
      <c r="U256" s="106">
        <v>2555</v>
      </c>
      <c r="V256" s="110">
        <v>47664</v>
      </c>
      <c r="W256" s="112" t="s">
        <v>39</v>
      </c>
      <c r="X256" s="110">
        <v>47664</v>
      </c>
      <c r="Y256" s="87" t="s">
        <v>424</v>
      </c>
      <c r="Z256" s="111">
        <v>2030</v>
      </c>
      <c r="AA256" s="106">
        <v>0.34800173318314059</v>
      </c>
      <c r="AB256" s="106"/>
      <c r="AC256" s="112"/>
      <c r="AD256" s="109"/>
      <c r="AE256" s="113">
        <f t="shared" si="71"/>
        <v>0</v>
      </c>
      <c r="AF256" s="109"/>
      <c r="AG256" s="106">
        <f t="shared" si="72"/>
        <v>0</v>
      </c>
      <c r="AH256" s="114"/>
      <c r="AI256" s="106">
        <f t="shared" si="73"/>
        <v>0</v>
      </c>
      <c r="AJ256" s="108"/>
      <c r="AK256" s="112">
        <f t="shared" si="70"/>
        <v>0</v>
      </c>
      <c r="AL256" s="109"/>
      <c r="AM256" s="115">
        <f t="shared" si="74"/>
        <v>0</v>
      </c>
      <c r="AN256" s="64"/>
      <c r="AO256" s="64"/>
      <c r="AP256" s="64"/>
      <c r="AQ256" s="64"/>
      <c r="AR256" s="64"/>
      <c r="AS256" s="64"/>
      <c r="AT256" s="64"/>
      <c r="AU256" s="22"/>
      <c r="AV256" s="45"/>
      <c r="AW256" s="45"/>
      <c r="AX256" s="45"/>
      <c r="AY256" s="13"/>
      <c r="AZ256" s="13"/>
      <c r="BA256" s="13"/>
      <c r="BB256" s="13"/>
      <c r="BC256" s="13"/>
      <c r="BD256" s="13"/>
    </row>
    <row r="257" spans="1:50" s="13" customFormat="1" ht="15.75" customHeight="1" thickBot="1">
      <c r="A257" s="133" t="s">
        <v>477</v>
      </c>
      <c r="B257" s="134"/>
      <c r="C257" s="187"/>
      <c r="D257" s="187"/>
      <c r="E257" s="135"/>
      <c r="F257" s="135"/>
      <c r="G257" s="134"/>
      <c r="H257" s="134"/>
      <c r="I257" s="134">
        <f>SUM(I4:I256)</f>
        <v>447676144.93968117</v>
      </c>
      <c r="J257" s="135">
        <f>SUM(J4:J256)</f>
        <v>509522256.14099997</v>
      </c>
      <c r="K257" s="134"/>
      <c r="L257" s="191">
        <f>SUM(L4:L256)</f>
        <v>73991605.079600006</v>
      </c>
      <c r="M257" s="135"/>
      <c r="N257" s="191">
        <f>SUM(N4:N6,N9:N23,N35:N97,N104:N106,N108:N142,N162:N197,N199:N237,N242:N256)</f>
        <v>31417840.755089801</v>
      </c>
      <c r="O257" s="135"/>
      <c r="P257" s="191">
        <f>SUM(P4:P6,P9:P23,P35:P97,P104:P106,P108:P142,P162:P197,P199:P237,P242:P256)</f>
        <v>157828506.375</v>
      </c>
      <c r="Q257" s="135"/>
      <c r="R257" s="191">
        <f>SUM(R4:R6,R9:R23,R35:R97,R104:R106,R108:R142,R162:R197,R199:R237,R242:R256)</f>
        <v>186637269.72999135</v>
      </c>
      <c r="S257" s="135"/>
      <c r="T257" s="135"/>
      <c r="U257" s="135">
        <f>SUM(U4:U6,U9:U23,U35:U97,U104:U106,U108:U142,U162:U197,U199:U237,U242:U256)</f>
        <v>924462479.87972271</v>
      </c>
      <c r="V257" s="134"/>
      <c r="W257" s="134"/>
      <c r="X257" s="156"/>
      <c r="Y257" s="134"/>
      <c r="Z257" s="134"/>
      <c r="AA257" s="135">
        <f>SUM(AA4:AA256)</f>
        <v>182766.12575482027</v>
      </c>
      <c r="AB257" s="135">
        <f>SUM(AB4:AB256)</f>
        <v>139307.06059999997</v>
      </c>
      <c r="AC257" s="134"/>
      <c r="AD257" s="134"/>
      <c r="AE257" s="135">
        <f>SUM(AE4:AE6,AE9:AE23,AE35:AE97,AE104:AE106,AE108:AE142,AE162:AE170,AE172:AE197,AE199:AE237,AE242:AE256)</f>
        <v>25774.410159428568</v>
      </c>
      <c r="AF257" s="135"/>
      <c r="AG257" s="135">
        <f>SUM(AG4:AG6,AG9:AG23,AG35:AG97,AG104:AG106,AG108:AG142,AG162:AG170,AG172:AG197,AG199:AG237,AG242:AG256)</f>
        <v>50263.125302330351</v>
      </c>
      <c r="AH257" s="135"/>
      <c r="AI257" s="135">
        <f>SUM(AI4:AI6,AI9:AI23,AI35:AI97,AI104:AI106,AI108:AI142,AI162:AI170,AI172:AI197,AI199:AI237,AI242:AI256)</f>
        <v>28164.307897784034</v>
      </c>
      <c r="AJ257" s="135">
        <f>SUM(AJ4:AJ6,AJ9:AJ23,AJ35:AJ97,AJ104:AJ106,AJ108:AJ142,AJ162:AJ170,AJ172:AJ197,AJ199:AJ237,AJ242:AJ256)</f>
        <v>22.757999999999999</v>
      </c>
      <c r="AK257" s="135" t="e">
        <f>SUM(AK4:AK6,AK9:AK23,AK35:AK97,AK104:AK106,AK108:AK142,AK162:AK170,AK172:AK197,AK199:AK237,AK242:AK256)</f>
        <v>#VALUE!</v>
      </c>
      <c r="AL257" s="135"/>
      <c r="AM257" s="136">
        <f>SUM(AM4:AM6,AM9:AM23,AM35:AM97,AM104:AM106,AM108:AM142,AM162:AM170,AM172:AM197,AM199:AM237,AM242:AM256)</f>
        <v>70927.242697607668</v>
      </c>
      <c r="AN257" s="22"/>
      <c r="AO257" s="22"/>
      <c r="AP257" s="22"/>
      <c r="AQ257" s="22"/>
      <c r="AR257" s="22"/>
      <c r="AS257" s="22"/>
      <c r="AT257" s="22"/>
      <c r="AU257" s="22"/>
      <c r="AV257" s="45"/>
      <c r="AW257" s="45"/>
      <c r="AX257" s="45"/>
    </row>
    <row r="258" spans="1:50" s="13" customFormat="1" ht="15.75" customHeight="1" thickBot="1">
      <c r="A258" s="133" t="s">
        <v>478</v>
      </c>
      <c r="B258" s="134"/>
      <c r="C258" s="134"/>
      <c r="D258" s="134"/>
      <c r="E258" s="135"/>
      <c r="F258" s="135"/>
      <c r="G258" s="134"/>
      <c r="H258" s="134"/>
      <c r="I258" s="134">
        <f>AVERAGE(I4:I256)</f>
        <v>2194490.9065670646</v>
      </c>
      <c r="J258" s="135">
        <f>AVERAGE(J4:J256)</f>
        <v>2177445.5390641023</v>
      </c>
      <c r="K258" s="137"/>
      <c r="L258" s="135">
        <f>AVERAGE(L4:L6,L9:L23,L35:L89,L94:L97,L104:L106,L108:L142,L162:L197,L199:L237,L242:L256)</f>
        <v>345996.46155902441</v>
      </c>
      <c r="M258" s="135"/>
      <c r="N258" s="135">
        <f>AVERAGE(N4:N6,N9:N23,N35:N89,N94:N97,N104:N106,N108:N142,N162:N197,N199:N237,N242:N256)</f>
        <v>151183.6888540966</v>
      </c>
      <c r="O258" s="135"/>
      <c r="P258" s="135">
        <f>AVERAGE(P4:P6,P9:P23,P35:P89,P94:P97,P104:P106,P108:P142,P162:P197,P199:P237,P242:P256)</f>
        <v>769895.15304878051</v>
      </c>
      <c r="Q258" s="135"/>
      <c r="R258" s="135">
        <f>AVERAGE(R4:R6,R9:R23,R35:R89,R94:R97,R104:R106,R108:R142,R162:R197,R199:R237,R242:R256)</f>
        <v>910425.70599995775</v>
      </c>
      <c r="S258" s="135"/>
      <c r="T258" s="137">
        <f>AVERAGE(T4:T6,T10,T11:T23,T35:T68,T82:T97,T104:T106,T108,T113:T119,T127:T137,T139:T142,T162,T182:T183,T194:T197,T199:T203,T205:T237,T242:T256)</f>
        <v>8.447647058823532E-2</v>
      </c>
      <c r="U258" s="135">
        <f>AVERAGE(U4:U6,U9:U23,U35:U56,U61,U67:U82,U88:U89,U104,U106,U108,U110,U113,U123,U125,U127:U142,U162:U189,U192,U194:U197,U199:U201,U203:U204,U209,U210:U211,U214:U219,U221:U237,U242:U256)</f>
        <v>5742002.9806193961</v>
      </c>
      <c r="V258" s="134"/>
      <c r="W258" s="134"/>
      <c r="X258" s="156"/>
      <c r="Y258" s="134"/>
      <c r="Z258" s="138"/>
      <c r="AA258" s="135">
        <f>AVERAGE(AA4:AA256)</f>
        <v>1548.8654724984769</v>
      </c>
      <c r="AB258" s="135">
        <f>AVERAGE(AB4:AB256)</f>
        <v>1934.8202861111106</v>
      </c>
      <c r="AC258" s="134"/>
      <c r="AD258" s="139"/>
      <c r="AE258" s="135">
        <f>AVERAGE(AE4:AE6,AE9:AE23,AE35:AE97,AE104:AE106,AE108:AE142,AE162:AE170,AE172:AE197,AE199:AE237,AE242:AE256)</f>
        <v>132.17646235604394</v>
      </c>
      <c r="AF258" s="139"/>
      <c r="AG258" s="140">
        <f>AVERAGE(AG4:AG6,AG9:AG23,AG35:AG97,AG104:AG106,AG108:AG142,AG162:AG170,AG172:AG197,AG199:AG237,AG242:AG256)</f>
        <v>256.44451684862423</v>
      </c>
      <c r="AH258" s="137"/>
      <c r="AI258" s="135">
        <f>AVERAGE(AI4:AI6,AI9:AI23,AI35:AI97,AI104:AI106,AI108:AI142,AI162:AI170,AI172:AI197,AI199:AI237,AI242:AI256)</f>
        <v>144.43234819376428</v>
      </c>
      <c r="AJ258" s="134"/>
      <c r="AK258" s="134"/>
      <c r="AL258" s="137"/>
      <c r="AM258" s="136">
        <f>AVERAGE(AM4:AM6,AM9:AM23,AM35:AM97,AM104:AM106,AM108:AM142,AM162:AM170,AM172:AM197,AM199:AM237,AM242:AM256)</f>
        <v>363.72944973132138</v>
      </c>
      <c r="AN258" s="22"/>
      <c r="AO258" s="22"/>
      <c r="AP258" s="22"/>
      <c r="AQ258" s="22"/>
      <c r="AR258" s="22"/>
      <c r="AS258" s="22"/>
      <c r="AT258" s="22"/>
      <c r="AU258" s="22"/>
      <c r="AV258" s="45"/>
      <c r="AW258" s="45"/>
      <c r="AX258" s="45"/>
    </row>
  </sheetData>
  <autoFilter ref="A3:BD258">
    <sortState ref="A4:BD257">
      <sortCondition ref="A3:A257"/>
    </sortState>
  </autoFilter>
  <mergeCells count="12">
    <mergeCell ref="V2:Z2"/>
    <mergeCell ref="K2:S2"/>
    <mergeCell ref="I2:J2"/>
    <mergeCell ref="E2:G2"/>
    <mergeCell ref="AC1:AM1"/>
    <mergeCell ref="AC2:AM2"/>
    <mergeCell ref="E1:G1"/>
    <mergeCell ref="I1:J1"/>
    <mergeCell ref="K1:S1"/>
    <mergeCell ref="V1:Z1"/>
    <mergeCell ref="AA1:AB1"/>
    <mergeCell ref="AA2:AB2"/>
  </mergeCell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'[1]Data Confidence'!#REF!</xm:f>
          </x14:formula1>
          <xm:sqref>H4:H6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workbookViewId="0">
      <selection activeCell="A41" sqref="A41"/>
    </sheetView>
  </sheetViews>
  <sheetFormatPr defaultRowHeight="15"/>
  <cols>
    <col min="1" max="1" width="29.85546875" customWidth="1"/>
    <col min="2" max="2" width="47.42578125" customWidth="1"/>
    <col min="3" max="3" width="13.7109375" customWidth="1"/>
    <col min="4" max="4" width="40.140625" customWidth="1"/>
    <col min="5" max="5" width="40.28515625" bestFit="1" customWidth="1"/>
    <col min="6" max="6" width="56.140625" bestFit="1" customWidth="1"/>
  </cols>
  <sheetData>
    <row r="1" spans="1:8" ht="15.75" thickBot="1">
      <c r="A1" s="49"/>
      <c r="B1" s="164" t="s">
        <v>414</v>
      </c>
      <c r="C1" s="164" t="s">
        <v>482</v>
      </c>
      <c r="E1" s="164" t="s">
        <v>416</v>
      </c>
      <c r="F1" s="164" t="s">
        <v>483</v>
      </c>
    </row>
    <row r="2" spans="1:8">
      <c r="G2" s="45"/>
      <c r="H2" s="45"/>
    </row>
    <row r="3" spans="1:8">
      <c r="A3" s="48" t="s">
        <v>92</v>
      </c>
      <c r="B3" s="101">
        <v>2266438.693584803</v>
      </c>
      <c r="C3" s="24">
        <f t="shared" ref="C3:C14" si="0">B3/$B$15</f>
        <v>0.71479745205587486</v>
      </c>
      <c r="D3" s="190"/>
      <c r="E3" s="33">
        <v>1980</v>
      </c>
      <c r="F3" s="24">
        <f t="shared" ref="F3:F14" si="1">$E$3*C3</f>
        <v>1415.2989550706322</v>
      </c>
      <c r="G3" s="45"/>
      <c r="H3" s="45"/>
    </row>
    <row r="4" spans="1:8">
      <c r="A4" s="48" t="s">
        <v>92</v>
      </c>
      <c r="B4" s="101">
        <v>501307</v>
      </c>
      <c r="C4" s="24">
        <f t="shared" si="0"/>
        <v>0.15810397488890507</v>
      </c>
      <c r="D4" s="190"/>
      <c r="E4" s="85"/>
      <c r="F4" s="24">
        <f t="shared" si="1"/>
        <v>313.04587028003203</v>
      </c>
      <c r="G4" s="45"/>
      <c r="H4" s="45"/>
    </row>
    <row r="5" spans="1:8">
      <c r="A5" s="48" t="s">
        <v>92</v>
      </c>
      <c r="B5" s="101">
        <v>87381</v>
      </c>
      <c r="C5" s="24">
        <f t="shared" si="0"/>
        <v>2.7558528865081502E-2</v>
      </c>
      <c r="D5" s="190"/>
      <c r="E5" s="85"/>
      <c r="F5" s="24">
        <f t="shared" si="1"/>
        <v>54.565887152861372</v>
      </c>
      <c r="G5" s="45"/>
      <c r="H5" s="45"/>
    </row>
    <row r="6" spans="1:8">
      <c r="A6" s="48" t="s">
        <v>92</v>
      </c>
      <c r="B6" s="101">
        <v>63692.5</v>
      </c>
      <c r="C6" s="24">
        <f t="shared" si="0"/>
        <v>2.0087565943845958E-2</v>
      </c>
      <c r="D6" s="190"/>
      <c r="E6" s="85"/>
      <c r="F6" s="24">
        <f t="shared" si="1"/>
        <v>39.773380568815</v>
      </c>
      <c r="G6" s="45"/>
      <c r="H6" s="45"/>
    </row>
    <row r="7" spans="1:8">
      <c r="A7" s="48" t="s">
        <v>92</v>
      </c>
      <c r="B7" s="101">
        <v>91396</v>
      </c>
      <c r="C7" s="24">
        <f t="shared" si="0"/>
        <v>2.8824793766985834E-2</v>
      </c>
      <c r="D7" s="190"/>
      <c r="E7" s="85"/>
      <c r="F7" s="24">
        <f t="shared" si="1"/>
        <v>57.073091658631952</v>
      </c>
      <c r="G7" s="45"/>
      <c r="H7" s="45"/>
    </row>
    <row r="8" spans="1:8">
      <c r="A8" s="48" t="s">
        <v>92</v>
      </c>
      <c r="B8" s="104">
        <v>6259.7499999999991</v>
      </c>
      <c r="C8" s="24">
        <f t="shared" si="0"/>
        <v>1.974222097059932E-3</v>
      </c>
      <c r="D8" s="190"/>
      <c r="E8" s="85"/>
      <c r="F8" s="24">
        <f t="shared" si="1"/>
        <v>3.9089597521786654</v>
      </c>
      <c r="G8" s="45"/>
      <c r="H8" s="45"/>
    </row>
    <row r="9" spans="1:8">
      <c r="A9" s="48" t="s">
        <v>92</v>
      </c>
      <c r="B9" s="105">
        <v>35944.603224999999</v>
      </c>
      <c r="C9" s="24">
        <f t="shared" si="0"/>
        <v>1.1336336108765797E-2</v>
      </c>
      <c r="D9" s="190"/>
      <c r="E9" s="85"/>
      <c r="F9" s="24">
        <f t="shared" si="1"/>
        <v>22.44594549535628</v>
      </c>
      <c r="G9" s="45"/>
      <c r="H9" s="45"/>
    </row>
    <row r="10" spans="1:8">
      <c r="A10" s="48" t="s">
        <v>92</v>
      </c>
      <c r="B10" s="104">
        <v>69369</v>
      </c>
      <c r="C10" s="24">
        <f t="shared" si="0"/>
        <v>2.1877840592827259E-2</v>
      </c>
      <c r="D10" s="190"/>
      <c r="E10" s="85"/>
      <c r="F10" s="24">
        <f t="shared" si="1"/>
        <v>43.318124373797971</v>
      </c>
      <c r="G10" s="45"/>
      <c r="H10" s="45"/>
    </row>
    <row r="11" spans="1:8">
      <c r="A11" s="48" t="s">
        <v>92</v>
      </c>
      <c r="B11" s="104">
        <v>36281</v>
      </c>
      <c r="C11" s="24">
        <f t="shared" si="0"/>
        <v>1.1442430113571852E-2</v>
      </c>
      <c r="D11" s="190"/>
      <c r="E11" s="85"/>
      <c r="F11" s="24">
        <f t="shared" si="1"/>
        <v>22.656011624872267</v>
      </c>
      <c r="G11" s="45"/>
      <c r="H11" s="45"/>
    </row>
    <row r="12" spans="1:8">
      <c r="A12" s="48" t="s">
        <v>92</v>
      </c>
      <c r="B12" s="33">
        <v>2453</v>
      </c>
      <c r="C12" s="24">
        <f t="shared" si="0"/>
        <v>7.7363581677990559E-4</v>
      </c>
      <c r="D12" s="190"/>
      <c r="E12" s="85"/>
      <c r="F12" s="24">
        <f t="shared" si="1"/>
        <v>1.531798917224213</v>
      </c>
      <c r="G12" s="45"/>
      <c r="H12" s="45"/>
    </row>
    <row r="13" spans="1:8">
      <c r="A13" s="48" t="s">
        <v>92</v>
      </c>
      <c r="B13" s="104">
        <v>3431</v>
      </c>
      <c r="C13" s="24">
        <f t="shared" si="0"/>
        <v>1.0820809161727909E-3</v>
      </c>
      <c r="D13" s="190"/>
      <c r="E13" s="85"/>
      <c r="F13" s="24">
        <f t="shared" si="1"/>
        <v>2.142520214022126</v>
      </c>
      <c r="G13" s="45"/>
      <c r="H13" s="45"/>
    </row>
    <row r="14" spans="1:8" ht="15.75" thickBot="1">
      <c r="A14" s="48" t="s">
        <v>92</v>
      </c>
      <c r="B14" s="160">
        <v>6789.0000000000009</v>
      </c>
      <c r="C14" s="108">
        <f t="shared" si="0"/>
        <v>2.1411388341291398E-3</v>
      </c>
      <c r="D14" s="190"/>
      <c r="E14" s="85"/>
      <c r="F14" s="108">
        <f t="shared" si="1"/>
        <v>4.2394548915756971</v>
      </c>
      <c r="G14" s="45"/>
      <c r="H14" s="45"/>
    </row>
    <row r="15" spans="1:8" ht="15.75" thickBot="1">
      <c r="A15" s="49"/>
      <c r="B15" s="161">
        <f>SUM(B3:B14)</f>
        <v>3170742.5468098032</v>
      </c>
      <c r="C15" s="161">
        <f>SUM(C3:C14)</f>
        <v>0.99999999999999989</v>
      </c>
      <c r="E15" s="60"/>
      <c r="F15" s="162">
        <f>SUM(F3:F14)</f>
        <v>1979.9999999999995</v>
      </c>
      <c r="G15" s="45"/>
      <c r="H15" s="45"/>
    </row>
    <row r="16" spans="1:8">
      <c r="G16" s="45"/>
      <c r="H16" s="45"/>
    </row>
    <row r="17" spans="1:8">
      <c r="A17" s="163" t="s">
        <v>262</v>
      </c>
      <c r="B17" s="21">
        <v>5628498</v>
      </c>
      <c r="C17" s="24">
        <f t="shared" ref="C17:C25" si="2">B17/$B$26</f>
        <v>0.86697634556209158</v>
      </c>
      <c r="D17" s="190"/>
      <c r="E17" s="33">
        <v>967.15</v>
      </c>
      <c r="F17" s="24">
        <f t="shared" ref="F17:F25" si="3">$E$17*C17</f>
        <v>838.4961726103769</v>
      </c>
      <c r="G17" s="45"/>
      <c r="H17" s="45"/>
    </row>
    <row r="18" spans="1:8">
      <c r="A18" s="163" t="s">
        <v>262</v>
      </c>
      <c r="B18" s="21">
        <v>321468</v>
      </c>
      <c r="C18" s="24">
        <f t="shared" si="2"/>
        <v>4.9516789711065802E-2</v>
      </c>
      <c r="D18" s="190"/>
      <c r="E18" s="85"/>
      <c r="F18" s="24">
        <f t="shared" si="3"/>
        <v>47.890163169057288</v>
      </c>
      <c r="G18" s="45"/>
      <c r="H18" s="45"/>
    </row>
    <row r="19" spans="1:8">
      <c r="A19" s="163" t="s">
        <v>262</v>
      </c>
      <c r="B19" s="21">
        <v>150930</v>
      </c>
      <c r="C19" s="24">
        <f t="shared" si="2"/>
        <v>2.3248251991150475E-2</v>
      </c>
      <c r="D19" s="190"/>
      <c r="E19" s="85"/>
      <c r="F19" s="24">
        <f t="shared" si="3"/>
        <v>22.484546913241182</v>
      </c>
      <c r="G19" s="45"/>
      <c r="H19" s="45"/>
    </row>
    <row r="20" spans="1:8">
      <c r="A20" s="163" t="s">
        <v>262</v>
      </c>
      <c r="B20" s="21">
        <v>265709</v>
      </c>
      <c r="C20" s="24">
        <f t="shared" si="2"/>
        <v>4.0928044711565637E-2</v>
      </c>
      <c r="D20" s="190"/>
      <c r="E20" s="85"/>
      <c r="F20" s="24">
        <f t="shared" si="3"/>
        <v>39.583558442790704</v>
      </c>
      <c r="G20" s="38"/>
      <c r="H20" s="46"/>
    </row>
    <row r="21" spans="1:8">
      <c r="A21" s="163" t="s">
        <v>262</v>
      </c>
      <c r="B21" s="21">
        <v>52004</v>
      </c>
      <c r="C21" s="24">
        <f t="shared" si="2"/>
        <v>8.010349808174581E-3</v>
      </c>
      <c r="D21" s="190"/>
      <c r="E21" s="85"/>
      <c r="F21" s="24">
        <f t="shared" si="3"/>
        <v>7.7472098169760457</v>
      </c>
      <c r="G21" s="46"/>
      <c r="H21" s="46"/>
    </row>
    <row r="22" spans="1:8">
      <c r="A22" s="163" t="s">
        <v>262</v>
      </c>
      <c r="B22" s="21">
        <v>40057</v>
      </c>
      <c r="C22" s="24">
        <f t="shared" si="2"/>
        <v>6.1701134963858383E-3</v>
      </c>
      <c r="D22" s="190"/>
      <c r="E22" s="85"/>
      <c r="F22" s="24">
        <f t="shared" si="3"/>
        <v>5.9674252680295634</v>
      </c>
      <c r="G22" s="46"/>
      <c r="H22" s="46"/>
    </row>
    <row r="23" spans="1:8">
      <c r="A23" s="163" t="s">
        <v>262</v>
      </c>
      <c r="B23" s="21">
        <v>12339</v>
      </c>
      <c r="C23" s="24">
        <f t="shared" si="2"/>
        <v>1.9006173810296543E-3</v>
      </c>
      <c r="D23" s="190"/>
      <c r="E23" s="85"/>
      <c r="F23" s="24">
        <f t="shared" si="3"/>
        <v>1.83818210006283</v>
      </c>
      <c r="G23" s="46"/>
      <c r="H23" s="46"/>
    </row>
    <row r="24" spans="1:8">
      <c r="A24" s="163" t="s">
        <v>262</v>
      </c>
      <c r="B24" s="21">
        <v>18760</v>
      </c>
      <c r="C24" s="24">
        <f t="shared" si="2"/>
        <v>2.8896654565294042E-3</v>
      </c>
      <c r="D24" s="190"/>
      <c r="E24" s="85"/>
      <c r="F24" s="24">
        <f t="shared" si="3"/>
        <v>2.7947399462824132</v>
      </c>
      <c r="G24" s="46"/>
      <c r="H24" s="46"/>
    </row>
    <row r="25" spans="1:8" ht="15.75" thickBot="1">
      <c r="A25" s="163" t="s">
        <v>262</v>
      </c>
      <c r="B25" s="42">
        <v>2336</v>
      </c>
      <c r="C25" s="108">
        <f t="shared" si="2"/>
        <v>3.5982188200707292E-4</v>
      </c>
      <c r="D25" s="190"/>
      <c r="E25" s="85"/>
      <c r="F25" s="108">
        <f t="shared" si="3"/>
        <v>0.34800173318314059</v>
      </c>
      <c r="G25" s="45"/>
      <c r="H25" s="46"/>
    </row>
    <row r="26" spans="1:8" ht="15.75" thickBot="1">
      <c r="A26" s="49"/>
      <c r="B26" s="162">
        <f>SUM(B17:B25)</f>
        <v>6492101</v>
      </c>
      <c r="C26" s="162">
        <f>SUM(C17:C25)</f>
        <v>1</v>
      </c>
      <c r="E26" s="60"/>
      <c r="F26" s="162">
        <f>SUM(F17:F25)</f>
        <v>967.15000000000009</v>
      </c>
      <c r="G26" s="45"/>
      <c r="H26" s="46"/>
    </row>
    <row r="27" spans="1:8">
      <c r="F27" s="85"/>
      <c r="G27" s="45"/>
      <c r="H27" s="46"/>
    </row>
    <row r="28" spans="1:8">
      <c r="F28" s="85"/>
      <c r="G28" s="45"/>
      <c r="H28" s="46"/>
    </row>
    <row r="29" spans="1:8">
      <c r="F29" s="22"/>
      <c r="G29" s="45"/>
      <c r="H29" s="45"/>
    </row>
    <row r="30" spans="1:8">
      <c r="A30" s="49"/>
      <c r="B30" s="60"/>
      <c r="C30" s="60"/>
      <c r="D30" s="60"/>
      <c r="E30" s="60"/>
      <c r="F30" s="60"/>
    </row>
    <row r="31" spans="1:8">
      <c r="A31" s="49"/>
      <c r="B31" s="60"/>
      <c r="C31" s="60"/>
      <c r="D31" s="60"/>
      <c r="E31" s="60"/>
      <c r="F31" s="60"/>
    </row>
    <row r="32" spans="1:8">
      <c r="A32" s="49"/>
      <c r="B32" s="49"/>
      <c r="C32" s="49"/>
      <c r="D32" s="49"/>
      <c r="E32" s="49"/>
      <c r="F32" s="49"/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(Uni-format)</vt:lpstr>
      <vt:lpstr>Sludge production pptn estimate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Smith</dc:creator>
  <cp:lastModifiedBy>Projects</cp:lastModifiedBy>
  <dcterms:created xsi:type="dcterms:W3CDTF">2016-01-21T02:00:11Z</dcterms:created>
  <dcterms:modified xsi:type="dcterms:W3CDTF">2017-01-15T21:23:36Z</dcterms:modified>
</cp:coreProperties>
</file>